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Šios_darbaknyges"/>
  <mc:AlternateContent xmlns:mc="http://schemas.openxmlformats.org/markup-compatibility/2006">
    <mc:Choice Requires="x15">
      <x15ac:absPath xmlns:x15ac="http://schemas.microsoft.com/office/spreadsheetml/2010/11/ac" url="C:\Users\Vartotojas\Desktop\TARYBOS SPRENDIMAI\2024-05-  2023 m vykdymas\TS 2023 vykdymas\"/>
    </mc:Choice>
  </mc:AlternateContent>
  <xr:revisionPtr revIDLastSave="0" documentId="13_ncr:1_{8D06B40B-C8A7-44FF-A932-699CE456A174}" xr6:coauthVersionLast="47" xr6:coauthVersionMax="47" xr10:uidLastSave="{00000000-0000-0000-0000-000000000000}"/>
  <bookViews>
    <workbookView xWindow="-103" yWindow="-103" windowWidth="29692" windowHeight="11949" tabRatio="896" xr2:uid="{00000000-000D-0000-FFFF-FFFF00000000}"/>
  </bookViews>
  <sheets>
    <sheet name="Mero pranešimas (I)" sheetId="68" r:id="rId1"/>
    <sheet name="Veiklos rezultatai (II)" sheetId="58" r:id="rId2"/>
    <sheet name="Regioninis planavimas (III)" sheetId="63" r:id="rId3"/>
    <sheet name="Plėtros tikslų stebėsena (IV) " sheetId="31" r:id="rId4"/>
    <sheet name="2023-2025 SVP ataskaita (V)" sheetId="30" r:id="rId5"/>
    <sheet name="Programų vykdymas 2023 (VI)" sheetId="34" r:id="rId6"/>
    <sheet name="1 programa (VII) " sheetId="56" r:id="rId7"/>
    <sheet name="2 programa (VIII)" sheetId="45" r:id="rId8"/>
    <sheet name="Švietimo stebėsena (IX)" sheetId="55" r:id="rId9"/>
    <sheet name="3 programa (X)" sheetId="46" r:id="rId10"/>
    <sheet name="4 programa (XI)" sheetId="47" r:id="rId11"/>
    <sheet name="5 programa (XII)" sheetId="48" r:id="rId12"/>
    <sheet name="6 programa (XIII)" sheetId="49" r:id="rId13"/>
    <sheet name="7 programa (XIV)" sheetId="50" r:id="rId14"/>
    <sheet name="8 programa (XV)" sheetId="51" r:id="rId15"/>
    <sheet name="9 programa (XVI)" sheetId="52" r:id="rId16"/>
    <sheet name="10 programa (XVII)" sheetId="54" r:id="rId17"/>
    <sheet name="VŠĮ rodikliai (XVIII)" sheetId="40" r:id="rId18"/>
    <sheet name="UAB rodikliai (XIX)" sheetId="67" r:id="rId19"/>
    <sheet name="Vertinimo kriterijai" sheetId="27" state="hidden" r:id="rId20"/>
    <sheet name="Lapas2" sheetId="28" state="hidden" r:id="rId21"/>
    <sheet name="Lapas3" sheetId="29" state="hidden" r:id="rId22"/>
    <sheet name="VERTINIMO KRITERIJAI (2 lentelė" sheetId="24" state="hidden" r:id="rId23"/>
    <sheet name="Lesu analize" sheetId="26" state="hidden" r:id="rId24"/>
  </sheets>
  <externalReferences>
    <externalReference r:id="rId25"/>
  </externalReferences>
  <definedNames>
    <definedName name="_xlnm._FilterDatabase" localSheetId="17" hidden="1">'VŠĮ rodikliai (XVIII)'!$A$6:$L$8</definedName>
    <definedName name="_Hlk122275804" localSheetId="3">'Plėtros tikslų stebėsena (IV) '!$S$127</definedName>
    <definedName name="_Hlk89418331" localSheetId="17">'VŠĮ rodikliai (XVIII)'!#REF!</definedName>
    <definedName name="_Hlk92374825" localSheetId="17">'VŠĮ rodikliai (XVIII)'!#REF!</definedName>
    <definedName name="_Hlk92374960" localSheetId="17">'VŠĮ rodikliai (XVIII)'!$C$22</definedName>
    <definedName name="_Hlk92375563" localSheetId="17">'VŠĮ rodikliai (XVIII)'!$C$38</definedName>
    <definedName name="_Hlk92375700" localSheetId="17">'VŠĮ rodikliai (XVIII)'!$C$63</definedName>
    <definedName name="_Hlk92375786" localSheetId="17">'VŠĮ rodikliai (XVIII)'!#REF!</definedName>
    <definedName name="_Hlk92376639" localSheetId="17">'VŠĮ rodikliai (XVIII)'!$C$51</definedName>
    <definedName name="_Toc123901359" localSheetId="17">'VŠĮ rodikliai (XVIII)'!$C$166</definedName>
    <definedName name="_Toc506024955" localSheetId="19">'Vertinimo kriterijai'!$A$1</definedName>
    <definedName name="Excel_BuiltIn__FilterDatabase_2">#REF!</definedName>
    <definedName name="_xlnm.Print_Area" localSheetId="22">'VERTINIMO KRITERIJAI (2 lentelė'!$A$1:$K$430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56" l="1"/>
  <c r="G19" i="45"/>
  <c r="F19" i="45"/>
  <c r="F288" i="45" s="1"/>
  <c r="G81" i="50" l="1"/>
  <c r="H81" i="50" s="1"/>
  <c r="F81" i="50"/>
  <c r="G96" i="51"/>
  <c r="F96" i="51"/>
  <c r="H96" i="51" l="1"/>
  <c r="G86" i="48"/>
  <c r="F99" i="48" s="1"/>
  <c r="I29" i="56" l="1"/>
  <c r="G22" i="47" l="1"/>
  <c r="G122" i="47" s="1"/>
  <c r="F22" i="47"/>
  <c r="F122" i="47" s="1"/>
  <c r="F36" i="47"/>
  <c r="H21" i="47"/>
  <c r="F59" i="47"/>
  <c r="F20" i="49"/>
  <c r="F224" i="49" s="1"/>
  <c r="H122" i="47" l="1"/>
  <c r="H22" i="47"/>
  <c r="G26" i="49"/>
  <c r="G20" i="49" s="1"/>
  <c r="G224" i="49" l="1"/>
  <c r="H20" i="49"/>
  <c r="H292" i="45"/>
  <c r="H293" i="45"/>
  <c r="G81" i="45"/>
  <c r="F81" i="45"/>
  <c r="G180" i="45"/>
  <c r="F180" i="45"/>
  <c r="G62" i="45"/>
  <c r="G20" i="45" s="1"/>
  <c r="F62" i="45"/>
  <c r="F20" i="45" l="1"/>
  <c r="F294" i="45" s="1"/>
  <c r="H81" i="45"/>
  <c r="H20" i="45"/>
  <c r="G294" i="45"/>
  <c r="H62" i="45"/>
  <c r="F16" i="45"/>
  <c r="F25" i="45"/>
  <c r="H24" i="45"/>
  <c r="H294" i="45" l="1"/>
  <c r="G179" i="45"/>
  <c r="F179" i="45"/>
  <c r="G177" i="45"/>
  <c r="F177" i="45"/>
  <c r="H177" i="45"/>
  <c r="F181" i="45" l="1"/>
  <c r="G181" i="45"/>
  <c r="G82" i="49"/>
  <c r="F82" i="49"/>
  <c r="G81" i="49"/>
  <c r="G83" i="49" s="1"/>
  <c r="F81" i="49"/>
  <c r="G59" i="49"/>
  <c r="F59" i="49"/>
  <c r="G60" i="49"/>
  <c r="F60" i="49"/>
  <c r="F83" i="49" l="1"/>
  <c r="G60" i="52"/>
  <c r="G61" i="52" s="1"/>
  <c r="H117" i="54"/>
  <c r="H118" i="54"/>
  <c r="H119" i="54"/>
  <c r="H120" i="54"/>
  <c r="H121" i="54"/>
  <c r="H122" i="54"/>
  <c r="H123" i="54"/>
  <c r="H124" i="54"/>
  <c r="H125" i="54"/>
  <c r="H126" i="54"/>
  <c r="H127" i="54"/>
  <c r="H128" i="54"/>
  <c r="H129" i="54"/>
  <c r="H130" i="54"/>
  <c r="H116" i="54"/>
  <c r="G16" i="50" l="1"/>
  <c r="G176" i="52" l="1"/>
  <c r="F176" i="52"/>
  <c r="G43" i="34"/>
  <c r="G42" i="34"/>
  <c r="N20" i="34"/>
  <c r="G183" i="54"/>
  <c r="G175" i="52"/>
  <c r="G174" i="52"/>
  <c r="G33" i="50"/>
  <c r="G32" i="50"/>
  <c r="G80" i="50"/>
  <c r="H14" i="46"/>
  <c r="H13" i="46"/>
  <c r="H23" i="46"/>
  <c r="H28" i="46"/>
  <c r="H36" i="46"/>
  <c r="H40" i="46"/>
  <c r="G20" i="46"/>
  <c r="G94" i="50" l="1"/>
  <c r="F221" i="45"/>
  <c r="F220" i="45"/>
  <c r="F291" i="45" s="1"/>
  <c r="F259" i="45"/>
  <c r="G259" i="45"/>
  <c r="F223" i="45" l="1"/>
  <c r="G30" i="56"/>
  <c r="F62" i="56"/>
  <c r="B4" i="50" l="1"/>
  <c r="A4" i="50"/>
  <c r="B3" i="50"/>
  <c r="A3" i="50"/>
  <c r="H24" i="47" l="1"/>
  <c r="H25" i="47"/>
  <c r="H26" i="47"/>
  <c r="H30" i="47"/>
  <c r="H31" i="47"/>
  <c r="H37" i="47"/>
  <c r="H39" i="47"/>
  <c r="H47" i="47"/>
  <c r="H50" i="47"/>
  <c r="H51" i="47"/>
  <c r="H52" i="47"/>
  <c r="H54" i="47"/>
  <c r="H55" i="47"/>
  <c r="H57" i="47"/>
  <c r="H58" i="47"/>
  <c r="H61" i="47"/>
  <c r="H64" i="47"/>
  <c r="H65" i="47"/>
  <c r="H68" i="47"/>
  <c r="H69" i="47"/>
  <c r="H72" i="47"/>
  <c r="H80" i="47"/>
  <c r="H81" i="47"/>
  <c r="H82" i="47"/>
  <c r="H83" i="47"/>
  <c r="H84" i="47"/>
  <c r="H85" i="47"/>
  <c r="H86" i="47"/>
  <c r="H90" i="47"/>
  <c r="H91" i="47"/>
  <c r="H94" i="47"/>
  <c r="H96" i="47"/>
  <c r="H100" i="47"/>
  <c r="H101" i="47"/>
  <c r="H102" i="47"/>
  <c r="H105" i="47"/>
  <c r="H106" i="47"/>
  <c r="H107" i="47"/>
  <c r="H110" i="47"/>
  <c r="H111" i="47"/>
  <c r="H112" i="47"/>
  <c r="H117" i="47"/>
  <c r="H19" i="47"/>
  <c r="F35" i="46"/>
  <c r="H23" i="34" l="1"/>
  <c r="F29" i="34"/>
  <c r="G29" i="34"/>
  <c r="F28" i="34"/>
  <c r="G28" i="34"/>
  <c r="I283" i="45"/>
  <c r="H259" i="45"/>
  <c r="G252" i="45"/>
  <c r="F251" i="45"/>
  <c r="H251" i="45" s="1"/>
  <c r="F242" i="45"/>
  <c r="F244" i="45" s="1"/>
  <c r="F231" i="45"/>
  <c r="H231" i="45" s="1"/>
  <c r="F230" i="45"/>
  <c r="G230" i="45"/>
  <c r="H229" i="45"/>
  <c r="H217" i="45"/>
  <c r="F218" i="45"/>
  <c r="H215" i="45"/>
  <c r="F216" i="45"/>
  <c r="G202" i="45"/>
  <c r="G201" i="45"/>
  <c r="F201" i="45"/>
  <c r="F202" i="45"/>
  <c r="H179" i="45"/>
  <c r="G169" i="45"/>
  <c r="F169" i="45"/>
  <c r="G168" i="45"/>
  <c r="F168" i="45"/>
  <c r="F165" i="45"/>
  <c r="F166" i="45" s="1"/>
  <c r="F160" i="45"/>
  <c r="G94" i="45"/>
  <c r="F94" i="45"/>
  <c r="F78" i="45"/>
  <c r="G77" i="45"/>
  <c r="F80" i="45"/>
  <c r="F77" i="45"/>
  <c r="F79" i="45"/>
  <c r="G80" i="45"/>
  <c r="H151" i="45"/>
  <c r="H149" i="45"/>
  <c r="F154" i="45"/>
  <c r="G154" i="45"/>
  <c r="H145" i="45"/>
  <c r="H144" i="45"/>
  <c r="H143" i="45"/>
  <c r="F148" i="45"/>
  <c r="G148" i="45"/>
  <c r="H140" i="45"/>
  <c r="H139" i="45"/>
  <c r="H137" i="45"/>
  <c r="F142" i="45"/>
  <c r="G142" i="45"/>
  <c r="E142" i="45"/>
  <c r="F136" i="45"/>
  <c r="G136" i="45"/>
  <c r="H131" i="45"/>
  <c r="H133" i="45"/>
  <c r="H134" i="45"/>
  <c r="F130" i="45"/>
  <c r="G130" i="45"/>
  <c r="H128" i="45"/>
  <c r="H127" i="45"/>
  <c r="H125" i="45"/>
  <c r="H122" i="45"/>
  <c r="F124" i="45"/>
  <c r="H119" i="45"/>
  <c r="F118" i="45"/>
  <c r="H116" i="45"/>
  <c r="H113" i="45"/>
  <c r="F112" i="45"/>
  <c r="H109" i="45"/>
  <c r="H110" i="45"/>
  <c r="H107" i="45"/>
  <c r="H103" i="45"/>
  <c r="H104" i="45"/>
  <c r="H101" i="45"/>
  <c r="F106" i="45"/>
  <c r="H95" i="45"/>
  <c r="F100" i="45"/>
  <c r="H97" i="45"/>
  <c r="H92" i="45"/>
  <c r="H91" i="45"/>
  <c r="H86" i="45"/>
  <c r="H83" i="45"/>
  <c r="H155" i="45"/>
  <c r="F88" i="45"/>
  <c r="F17" i="45"/>
  <c r="F76" i="45"/>
  <c r="F72" i="45"/>
  <c r="F68" i="45"/>
  <c r="F63" i="45"/>
  <c r="F57" i="45"/>
  <c r="F52" i="45"/>
  <c r="F48" i="45"/>
  <c r="F43" i="45"/>
  <c r="F39" i="45"/>
  <c r="F34" i="45"/>
  <c r="H26" i="45"/>
  <c r="H27" i="45"/>
  <c r="H31" i="45"/>
  <c r="H32" i="45"/>
  <c r="H35" i="45"/>
  <c r="H36" i="45"/>
  <c r="H40" i="45"/>
  <c r="H41" i="45"/>
  <c r="H44" i="45"/>
  <c r="H45" i="45"/>
  <c r="H49" i="45"/>
  <c r="H50" i="45"/>
  <c r="H53" i="45"/>
  <c r="H54" i="45"/>
  <c r="H58" i="45"/>
  <c r="H59" i="45"/>
  <c r="H61" i="45"/>
  <c r="H64" i="45"/>
  <c r="H65" i="45"/>
  <c r="H69" i="45"/>
  <c r="H70" i="45"/>
  <c r="H73" i="45"/>
  <c r="H74" i="45"/>
  <c r="F30" i="45"/>
  <c r="H23" i="45"/>
  <c r="H22" i="45"/>
  <c r="H18" i="45"/>
  <c r="F188" i="56"/>
  <c r="I187" i="56"/>
  <c r="I184" i="56"/>
  <c r="F186" i="56"/>
  <c r="I180" i="56"/>
  <c r="F181" i="56"/>
  <c r="I172" i="56"/>
  <c r="F173" i="56"/>
  <c r="I166" i="56"/>
  <c r="F169" i="56"/>
  <c r="F165" i="56" s="1"/>
  <c r="I162" i="56"/>
  <c r="F164" i="56"/>
  <c r="G143" i="56"/>
  <c r="G145" i="56" s="1"/>
  <c r="F143" i="56"/>
  <c r="F145" i="56" s="1"/>
  <c r="I140" i="56"/>
  <c r="F142" i="56"/>
  <c r="F139" i="56"/>
  <c r="I137" i="56"/>
  <c r="I135" i="56"/>
  <c r="F136" i="56"/>
  <c r="I123" i="56"/>
  <c r="F126" i="56"/>
  <c r="I120" i="56"/>
  <c r="F121" i="56"/>
  <c r="F119" i="56" s="1"/>
  <c r="I117" i="56"/>
  <c r="F118" i="56"/>
  <c r="I115" i="56"/>
  <c r="F116" i="56"/>
  <c r="I113" i="56"/>
  <c r="F114" i="56"/>
  <c r="F112" i="56"/>
  <c r="I111" i="56"/>
  <c r="I108" i="56"/>
  <c r="F109" i="56"/>
  <c r="I106" i="56"/>
  <c r="F107" i="56"/>
  <c r="I103" i="56"/>
  <c r="F105" i="56"/>
  <c r="I94" i="56"/>
  <c r="F96" i="56"/>
  <c r="I91" i="56"/>
  <c r="I90" i="56"/>
  <c r="F92" i="56"/>
  <c r="I88" i="56"/>
  <c r="F89" i="56"/>
  <c r="I86" i="56"/>
  <c r="F87" i="56"/>
  <c r="I83" i="56"/>
  <c r="F85" i="56"/>
  <c r="F82" i="56"/>
  <c r="I81" i="56"/>
  <c r="I78" i="56"/>
  <c r="F80" i="56"/>
  <c r="F77" i="56"/>
  <c r="I75" i="56"/>
  <c r="I76" i="56"/>
  <c r="I73" i="56"/>
  <c r="F74" i="56"/>
  <c r="I71" i="56"/>
  <c r="F72" i="56"/>
  <c r="I69" i="56"/>
  <c r="I68" i="56"/>
  <c r="F70" i="56"/>
  <c r="I66" i="56"/>
  <c r="F67" i="56"/>
  <c r="I61" i="56"/>
  <c r="I60" i="56"/>
  <c r="G62" i="56"/>
  <c r="I58" i="56"/>
  <c r="F59" i="56"/>
  <c r="I56" i="56"/>
  <c r="F57" i="56"/>
  <c r="I54" i="56"/>
  <c r="F55" i="56"/>
  <c r="I52" i="56"/>
  <c r="F53" i="56"/>
  <c r="G51" i="56"/>
  <c r="F51" i="56"/>
  <c r="I48" i="56"/>
  <c r="I49" i="56"/>
  <c r="I50" i="56"/>
  <c r="I47" i="56"/>
  <c r="I45" i="56"/>
  <c r="I44" i="56"/>
  <c r="F46" i="56"/>
  <c r="I38" i="56"/>
  <c r="I37" i="56"/>
  <c r="I36" i="56"/>
  <c r="G39" i="56"/>
  <c r="F39" i="56"/>
  <c r="I33" i="56"/>
  <c r="F34" i="56"/>
  <c r="I31" i="56"/>
  <c r="F32" i="56"/>
  <c r="F30" i="56"/>
  <c r="G21" i="56"/>
  <c r="G193" i="56" s="1"/>
  <c r="F21" i="56"/>
  <c r="F193" i="56" s="1"/>
  <c r="E22" i="56"/>
  <c r="F22" i="56"/>
  <c r="G26" i="56"/>
  <c r="F26" i="56"/>
  <c r="F20" i="56" s="1"/>
  <c r="G188" i="56"/>
  <c r="G186" i="56"/>
  <c r="G181" i="56"/>
  <c r="G173" i="56"/>
  <c r="G169" i="56"/>
  <c r="G164" i="56"/>
  <c r="G142" i="56"/>
  <c r="G139" i="56"/>
  <c r="G136" i="56"/>
  <c r="G126" i="56"/>
  <c r="G121" i="56"/>
  <c r="G118" i="56"/>
  <c r="G116" i="56"/>
  <c r="G114" i="56"/>
  <c r="G112" i="56"/>
  <c r="G109" i="56"/>
  <c r="G107" i="56"/>
  <c r="G105" i="56"/>
  <c r="G96" i="56"/>
  <c r="G92" i="56"/>
  <c r="G89" i="56"/>
  <c r="G87" i="56"/>
  <c r="G85" i="56"/>
  <c r="G82" i="56"/>
  <c r="G80" i="56"/>
  <c r="G77" i="56"/>
  <c r="G74" i="56"/>
  <c r="G72" i="56"/>
  <c r="G70" i="56"/>
  <c r="G67" i="56"/>
  <c r="G59" i="56"/>
  <c r="G57" i="56"/>
  <c r="G55" i="56"/>
  <c r="G53" i="56"/>
  <c r="G46" i="56"/>
  <c r="G34" i="56"/>
  <c r="G32" i="56"/>
  <c r="G22" i="56"/>
  <c r="G192" i="56" s="1"/>
  <c r="M199" i="56" s="1"/>
  <c r="H191" i="54"/>
  <c r="F186" i="54"/>
  <c r="G186" i="54"/>
  <c r="G185" i="54"/>
  <c r="F185" i="54"/>
  <c r="F184" i="54"/>
  <c r="G184" i="54"/>
  <c r="F183" i="54"/>
  <c r="H183" i="54" s="1"/>
  <c r="F179" i="54"/>
  <c r="F177" i="54" s="1"/>
  <c r="G179" i="54"/>
  <c r="G177" i="54" s="1"/>
  <c r="H175" i="54"/>
  <c r="F176" i="54"/>
  <c r="F174" i="54" s="1"/>
  <c r="G176" i="54"/>
  <c r="G174" i="54" s="1"/>
  <c r="H172" i="54"/>
  <c r="F173" i="54"/>
  <c r="F171" i="54" s="1"/>
  <c r="G173" i="54"/>
  <c r="G171" i="54" s="1"/>
  <c r="F170" i="54"/>
  <c r="F167" i="54"/>
  <c r="F162" i="54"/>
  <c r="F160" i="54"/>
  <c r="F156" i="54"/>
  <c r="G156" i="54"/>
  <c r="H155" i="54"/>
  <c r="H156" i="54" s="1"/>
  <c r="F154" i="54"/>
  <c r="G154" i="54"/>
  <c r="H153" i="54"/>
  <c r="H154" i="54" s="1"/>
  <c r="F152" i="54"/>
  <c r="G152" i="54"/>
  <c r="H152" i="54" s="1"/>
  <c r="H150" i="54"/>
  <c r="H151" i="54"/>
  <c r="H149" i="54"/>
  <c r="F146" i="54"/>
  <c r="G146" i="54"/>
  <c r="H145" i="54"/>
  <c r="H146" i="54" s="1"/>
  <c r="H139" i="54"/>
  <c r="H140" i="54" s="1"/>
  <c r="F140" i="54"/>
  <c r="F138" i="54" s="1"/>
  <c r="G140" i="54"/>
  <c r="G138" i="54" s="1"/>
  <c r="H138" i="54" s="1"/>
  <c r="G112" i="54"/>
  <c r="G115" i="54" s="1"/>
  <c r="G111" i="54" s="1"/>
  <c r="F112" i="54"/>
  <c r="H104" i="54"/>
  <c r="H105" i="54"/>
  <c r="H101" i="54"/>
  <c r="F106" i="54"/>
  <c r="G106" i="54"/>
  <c r="H106" i="54" s="1"/>
  <c r="H97" i="54"/>
  <c r="F98" i="54"/>
  <c r="G98" i="54"/>
  <c r="H96" i="54"/>
  <c r="H86" i="54"/>
  <c r="H87" i="54" s="1"/>
  <c r="F87" i="54"/>
  <c r="G87" i="54"/>
  <c r="H78" i="54"/>
  <c r="H79" i="54"/>
  <c r="H76" i="54"/>
  <c r="F75" i="54"/>
  <c r="G75" i="54"/>
  <c r="H72" i="54"/>
  <c r="H75" i="54" s="1"/>
  <c r="F80" i="54"/>
  <c r="G80" i="54"/>
  <c r="H70" i="54"/>
  <c r="F71" i="54"/>
  <c r="G71" i="54"/>
  <c r="H61" i="54"/>
  <c r="F62" i="54"/>
  <c r="G62" i="54"/>
  <c r="H62" i="54" s="1"/>
  <c r="H59" i="54"/>
  <c r="F60" i="54"/>
  <c r="G60" i="54"/>
  <c r="H60" i="54" s="1"/>
  <c r="H54" i="54"/>
  <c r="H56" i="54"/>
  <c r="H53" i="54"/>
  <c r="F58" i="54"/>
  <c r="G58" i="54"/>
  <c r="H51" i="54"/>
  <c r="H52" i="54" s="1"/>
  <c r="F52" i="54"/>
  <c r="G52" i="54"/>
  <c r="H49" i="54"/>
  <c r="H50" i="54" s="1"/>
  <c r="F50" i="54"/>
  <c r="G50" i="54"/>
  <c r="G48" i="54"/>
  <c r="F48" i="54"/>
  <c r="H45" i="54"/>
  <c r="H46" i="54"/>
  <c r="F44" i="54"/>
  <c r="G44" i="54"/>
  <c r="H42" i="54"/>
  <c r="H43" i="54"/>
  <c r="H41" i="54"/>
  <c r="F38" i="54"/>
  <c r="G38" i="54"/>
  <c r="H38" i="54"/>
  <c r="H32" i="54"/>
  <c r="H33" i="54" s="1"/>
  <c r="F33" i="54"/>
  <c r="G33" i="54"/>
  <c r="F28" i="54"/>
  <c r="F29" i="54" s="1"/>
  <c r="G28" i="54"/>
  <c r="H24" i="54"/>
  <c r="H25" i="54" s="1"/>
  <c r="F25" i="54"/>
  <c r="G25" i="54"/>
  <c r="H176" i="52"/>
  <c r="F175" i="52"/>
  <c r="F174" i="52"/>
  <c r="F165" i="52"/>
  <c r="G165" i="52"/>
  <c r="H164" i="52"/>
  <c r="H165" i="52" s="1"/>
  <c r="F163" i="52"/>
  <c r="G163" i="52"/>
  <c r="H162" i="52"/>
  <c r="H163" i="52" s="1"/>
  <c r="H159" i="52"/>
  <c r="H160" i="52"/>
  <c r="H158" i="52"/>
  <c r="F161" i="52"/>
  <c r="G161" i="52"/>
  <c r="F149" i="52"/>
  <c r="F151" i="52" s="1"/>
  <c r="G149" i="52"/>
  <c r="F155" i="52"/>
  <c r="G155" i="52"/>
  <c r="F153" i="52"/>
  <c r="G153" i="52"/>
  <c r="F141" i="52"/>
  <c r="G141" i="52"/>
  <c r="H140" i="52"/>
  <c r="H141" i="52" s="1"/>
  <c r="H138" i="52"/>
  <c r="F139" i="52"/>
  <c r="G139" i="52"/>
  <c r="F118" i="52"/>
  <c r="G118" i="52"/>
  <c r="H117" i="52"/>
  <c r="F108" i="52"/>
  <c r="G108" i="52"/>
  <c r="H107" i="52"/>
  <c r="H108" i="52" s="1"/>
  <c r="F101" i="52"/>
  <c r="F93" i="52" s="1"/>
  <c r="G101" i="52"/>
  <c r="G93" i="52" s="1"/>
  <c r="H100" i="52"/>
  <c r="H91" i="52"/>
  <c r="F92" i="52"/>
  <c r="G92" i="52"/>
  <c r="F90" i="52"/>
  <c r="G90" i="52"/>
  <c r="H89" i="52"/>
  <c r="H90" i="52" s="1"/>
  <c r="F81" i="52"/>
  <c r="G81" i="52"/>
  <c r="H80" i="52"/>
  <c r="F79" i="52"/>
  <c r="G79" i="52"/>
  <c r="H78" i="52"/>
  <c r="F77" i="52"/>
  <c r="G74" i="52"/>
  <c r="F74" i="52"/>
  <c r="H72" i="52"/>
  <c r="H71" i="52"/>
  <c r="H70" i="52"/>
  <c r="H67" i="52"/>
  <c r="F69" i="52"/>
  <c r="G69" i="52"/>
  <c r="H65" i="52"/>
  <c r="H64" i="52"/>
  <c r="F66" i="52"/>
  <c r="G66" i="52"/>
  <c r="F63" i="52"/>
  <c r="G63" i="52"/>
  <c r="H62" i="52"/>
  <c r="H63" i="52" s="1"/>
  <c r="H51" i="52"/>
  <c r="F52" i="52"/>
  <c r="G52" i="52"/>
  <c r="F50" i="52"/>
  <c r="G50" i="52"/>
  <c r="H49" i="52"/>
  <c r="G20" i="52"/>
  <c r="F20" i="52"/>
  <c r="H19" i="52"/>
  <c r="F87" i="51"/>
  <c r="F85" i="51" s="1"/>
  <c r="G87" i="51"/>
  <c r="G85" i="51" s="1"/>
  <c r="H86" i="51"/>
  <c r="H87" i="51" s="1"/>
  <c r="F64" i="51"/>
  <c r="F65" i="51" s="1"/>
  <c r="F63" i="51" s="1"/>
  <c r="G64" i="51"/>
  <c r="G65" i="51" s="1"/>
  <c r="G63" i="51" s="1"/>
  <c r="E64" i="51"/>
  <c r="F56" i="51"/>
  <c r="G56" i="51"/>
  <c r="H55" i="51"/>
  <c r="H47" i="51"/>
  <c r="F49" i="51"/>
  <c r="G49" i="51"/>
  <c r="H44" i="51"/>
  <c r="F46" i="51"/>
  <c r="G46" i="51"/>
  <c r="H41" i="51"/>
  <c r="F42" i="51"/>
  <c r="G42" i="51"/>
  <c r="F37" i="51"/>
  <c r="G37" i="51"/>
  <c r="H36" i="51"/>
  <c r="F34" i="51"/>
  <c r="G34" i="51"/>
  <c r="H31" i="51"/>
  <c r="H34" i="51" s="1"/>
  <c r="F28" i="51"/>
  <c r="G28" i="51"/>
  <c r="H26" i="51"/>
  <c r="H25" i="51"/>
  <c r="F24" i="51"/>
  <c r="G24" i="51"/>
  <c r="H23" i="51"/>
  <c r="H21" i="51"/>
  <c r="F22" i="51"/>
  <c r="G22" i="51"/>
  <c r="H19" i="51"/>
  <c r="F20" i="51"/>
  <c r="G20" i="51"/>
  <c r="F18" i="51"/>
  <c r="G18" i="51"/>
  <c r="H16" i="51"/>
  <c r="H15" i="51"/>
  <c r="H18" i="51" s="1"/>
  <c r="H68" i="50"/>
  <c r="F69" i="50"/>
  <c r="F67" i="50" s="1"/>
  <c r="G69" i="50"/>
  <c r="F34" i="54" l="1"/>
  <c r="H24" i="51"/>
  <c r="H63" i="51"/>
  <c r="H28" i="54"/>
  <c r="H29" i="54" s="1"/>
  <c r="F23" i="54"/>
  <c r="G34" i="54"/>
  <c r="H34" i="54" s="1"/>
  <c r="F115" i="54"/>
  <c r="F111" i="54" s="1"/>
  <c r="F182" i="54"/>
  <c r="E197" i="54" s="1"/>
  <c r="F286" i="45"/>
  <c r="F192" i="56"/>
  <c r="L199" i="56" s="1"/>
  <c r="F191" i="56"/>
  <c r="F204" i="56" s="1"/>
  <c r="G82" i="52"/>
  <c r="H28" i="51"/>
  <c r="H42" i="51"/>
  <c r="G95" i="51"/>
  <c r="F289" i="45"/>
  <c r="F285" i="45"/>
  <c r="H69" i="52"/>
  <c r="H50" i="52"/>
  <c r="H149" i="52"/>
  <c r="G173" i="52"/>
  <c r="G188" i="52" s="1"/>
  <c r="H79" i="52"/>
  <c r="H92" i="52"/>
  <c r="H161" i="52"/>
  <c r="I186" i="56"/>
  <c r="G287" i="45"/>
  <c r="G289" i="45"/>
  <c r="F287" i="45"/>
  <c r="F290" i="45"/>
  <c r="F260" i="45"/>
  <c r="H69" i="50"/>
  <c r="H118" i="52"/>
  <c r="H22" i="51"/>
  <c r="H56" i="51"/>
  <c r="G14" i="51"/>
  <c r="F95" i="51"/>
  <c r="H46" i="51"/>
  <c r="H85" i="51"/>
  <c r="H64" i="51"/>
  <c r="H37" i="51"/>
  <c r="H49" i="51"/>
  <c r="H65" i="51"/>
  <c r="F14" i="51"/>
  <c r="H14" i="51" s="1"/>
  <c r="H20" i="51"/>
  <c r="F16" i="52"/>
  <c r="H66" i="52"/>
  <c r="H74" i="52"/>
  <c r="H81" i="52"/>
  <c r="G16" i="52"/>
  <c r="H174" i="52"/>
  <c r="H175" i="52"/>
  <c r="H139" i="52"/>
  <c r="F173" i="52"/>
  <c r="F188" i="52" s="1"/>
  <c r="H52" i="52"/>
  <c r="H93" i="52"/>
  <c r="H20" i="52"/>
  <c r="H101" i="52"/>
  <c r="G151" i="52"/>
  <c r="H151" i="52" s="1"/>
  <c r="F82" i="52"/>
  <c r="H82" i="52" s="1"/>
  <c r="F165" i="54"/>
  <c r="H71" i="54"/>
  <c r="H44" i="54"/>
  <c r="H48" i="54"/>
  <c r="H58" i="54"/>
  <c r="H185" i="54"/>
  <c r="H184" i="54"/>
  <c r="H98" i="54"/>
  <c r="F144" i="54"/>
  <c r="G165" i="54"/>
  <c r="H165" i="54" s="1"/>
  <c r="G182" i="54"/>
  <c r="F197" i="54" s="1"/>
  <c r="H173" i="54"/>
  <c r="G29" i="54"/>
  <c r="G23" i="54" s="1"/>
  <c r="H23" i="54" s="1"/>
  <c r="F81" i="54"/>
  <c r="G81" i="54"/>
  <c r="H112" i="54"/>
  <c r="H115" i="54"/>
  <c r="H177" i="54"/>
  <c r="H176" i="54"/>
  <c r="H186" i="54"/>
  <c r="I164" i="56"/>
  <c r="I181" i="56"/>
  <c r="I57" i="56"/>
  <c r="I188" i="56"/>
  <c r="H29" i="34"/>
  <c r="I192" i="56"/>
  <c r="I139" i="56"/>
  <c r="I169" i="56"/>
  <c r="H28" i="34"/>
  <c r="H202" i="45"/>
  <c r="H242" i="45"/>
  <c r="H168" i="45"/>
  <c r="H201" i="45"/>
  <c r="G170" i="45"/>
  <c r="H230" i="45"/>
  <c r="H181" i="45"/>
  <c r="F170" i="45"/>
  <c r="H154" i="45"/>
  <c r="H169" i="45"/>
  <c r="F252" i="45"/>
  <c r="F233" i="45"/>
  <c r="F203" i="45"/>
  <c r="H142" i="45"/>
  <c r="H148" i="45"/>
  <c r="H130" i="45"/>
  <c r="H136" i="45"/>
  <c r="F82" i="45"/>
  <c r="H94" i="45"/>
  <c r="F21" i="45"/>
  <c r="F171" i="56"/>
  <c r="I173" i="56"/>
  <c r="G165" i="56"/>
  <c r="I165" i="56" s="1"/>
  <c r="I145" i="56"/>
  <c r="I142" i="56"/>
  <c r="I143" i="56"/>
  <c r="I121" i="56"/>
  <c r="I74" i="56"/>
  <c r="I85" i="56"/>
  <c r="I109" i="56"/>
  <c r="I32" i="56"/>
  <c r="I51" i="56"/>
  <c r="I112" i="56"/>
  <c r="I92" i="56"/>
  <c r="I55" i="56"/>
  <c r="I107" i="56"/>
  <c r="I136" i="56"/>
  <c r="I53" i="56"/>
  <c r="I105" i="56"/>
  <c r="I126" i="56"/>
  <c r="I80" i="56"/>
  <c r="F122" i="56"/>
  <c r="I30" i="56"/>
  <c r="I67" i="56"/>
  <c r="I114" i="56"/>
  <c r="I89" i="56"/>
  <c r="G93" i="56"/>
  <c r="I77" i="56"/>
  <c r="I21" i="56"/>
  <c r="I22" i="56"/>
  <c r="I59" i="56"/>
  <c r="G110" i="56"/>
  <c r="G119" i="56"/>
  <c r="I119" i="56" s="1"/>
  <c r="I87" i="56"/>
  <c r="I39" i="56"/>
  <c r="I62" i="56"/>
  <c r="I70" i="56"/>
  <c r="I116" i="56"/>
  <c r="I96" i="56"/>
  <c r="I34" i="56"/>
  <c r="I72" i="56"/>
  <c r="I118" i="56"/>
  <c r="I46" i="56"/>
  <c r="G122" i="56"/>
  <c r="F93" i="56"/>
  <c r="F23" i="56"/>
  <c r="F19" i="56" s="1"/>
  <c r="G20" i="56"/>
  <c r="G191" i="56" s="1"/>
  <c r="G204" i="56" s="1"/>
  <c r="I82" i="56"/>
  <c r="F110" i="56"/>
  <c r="F35" i="56"/>
  <c r="G171" i="56"/>
  <c r="G35" i="56"/>
  <c r="H174" i="54"/>
  <c r="H171" i="54"/>
  <c r="G144" i="54"/>
  <c r="H111" i="54"/>
  <c r="H80" i="54"/>
  <c r="G63" i="54"/>
  <c r="F63" i="54"/>
  <c r="G104" i="52"/>
  <c r="F104" i="52"/>
  <c r="G75" i="52"/>
  <c r="F75" i="52"/>
  <c r="H63" i="54" l="1"/>
  <c r="F311" i="45"/>
  <c r="F109" i="51"/>
  <c r="F94" i="51"/>
  <c r="F103" i="51" s="1"/>
  <c r="F16" i="34" s="1"/>
  <c r="Y9" i="34" s="1"/>
  <c r="G109" i="51"/>
  <c r="G94" i="51"/>
  <c r="G103" i="51" s="1"/>
  <c r="G16" i="34" s="1"/>
  <c r="F181" i="54"/>
  <c r="F189" i="54" s="1"/>
  <c r="F18" i="34" s="1"/>
  <c r="AA9" i="34" s="1"/>
  <c r="G23" i="56"/>
  <c r="H16" i="52"/>
  <c r="F172" i="52"/>
  <c r="F180" i="52" s="1"/>
  <c r="F17" i="34" s="1"/>
  <c r="Z9" i="34" s="1"/>
  <c r="H287" i="45"/>
  <c r="G181" i="54"/>
  <c r="G172" i="52"/>
  <c r="F284" i="45"/>
  <c r="F158" i="45"/>
  <c r="F219" i="45"/>
  <c r="H252" i="45"/>
  <c r="F296" i="45"/>
  <c r="F31" i="34" s="1"/>
  <c r="I20" i="56"/>
  <c r="H95" i="51"/>
  <c r="H173" i="52"/>
  <c r="H75" i="52"/>
  <c r="H104" i="52"/>
  <c r="H81" i="54"/>
  <c r="H144" i="54"/>
  <c r="H182" i="54"/>
  <c r="F190" i="56"/>
  <c r="F198" i="56" s="1"/>
  <c r="F9" i="34" s="1"/>
  <c r="I171" i="56"/>
  <c r="I193" i="56"/>
  <c r="H170" i="45"/>
  <c r="F15" i="45"/>
  <c r="I93" i="56"/>
  <c r="I122" i="56"/>
  <c r="I110" i="56"/>
  <c r="I35" i="56"/>
  <c r="H94" i="51" l="1"/>
  <c r="H103" i="51"/>
  <c r="H181" i="54"/>
  <c r="M18" i="34"/>
  <c r="G190" i="56"/>
  <c r="G198" i="56" s="1"/>
  <c r="G9" i="34" s="1"/>
  <c r="M17" i="34"/>
  <c r="N16" i="34"/>
  <c r="Y10" i="34"/>
  <c r="M9" i="34"/>
  <c r="R9" i="34"/>
  <c r="M16" i="34"/>
  <c r="G189" i="54"/>
  <c r="H189" i="54" s="1"/>
  <c r="H172" i="52"/>
  <c r="G180" i="52"/>
  <c r="H180" i="52" s="1"/>
  <c r="F295" i="45"/>
  <c r="H16" i="34"/>
  <c r="I191" i="56"/>
  <c r="G19" i="56"/>
  <c r="I19" i="56" s="1"/>
  <c r="I23" i="56"/>
  <c r="G18" i="34" l="1"/>
  <c r="R10" i="34"/>
  <c r="N18" i="34"/>
  <c r="AA10" i="34"/>
  <c r="H9" i="34"/>
  <c r="N9" i="34"/>
  <c r="G17" i="34"/>
  <c r="F10" i="34"/>
  <c r="H18" i="34"/>
  <c r="I190" i="56"/>
  <c r="I198" i="56"/>
  <c r="F84" i="50"/>
  <c r="G84" i="50"/>
  <c r="G67" i="50"/>
  <c r="H67" i="50" s="1"/>
  <c r="H65" i="50"/>
  <c r="H64" i="50"/>
  <c r="G66" i="50"/>
  <c r="F66" i="50"/>
  <c r="F55" i="50" s="1"/>
  <c r="H44" i="50"/>
  <c r="F45" i="50"/>
  <c r="G45" i="50"/>
  <c r="H42" i="50"/>
  <c r="F43" i="50"/>
  <c r="G43" i="50"/>
  <c r="H40" i="50"/>
  <c r="H39" i="50"/>
  <c r="F41" i="50"/>
  <c r="G41" i="50"/>
  <c r="H36" i="50"/>
  <c r="H35" i="50"/>
  <c r="F33" i="50"/>
  <c r="G82" i="50"/>
  <c r="G79" i="50" s="1"/>
  <c r="F32" i="50"/>
  <c r="F27" i="50"/>
  <c r="G27" i="50"/>
  <c r="H26" i="50"/>
  <c r="H27" i="50" s="1"/>
  <c r="F16" i="50"/>
  <c r="H14" i="50"/>
  <c r="F34" i="50" l="1"/>
  <c r="S9" i="34"/>
  <c r="N17" i="34"/>
  <c r="Z10" i="34"/>
  <c r="M10" i="34"/>
  <c r="H17" i="34"/>
  <c r="H16" i="50"/>
  <c r="H33" i="50"/>
  <c r="H45" i="50"/>
  <c r="F80" i="50"/>
  <c r="F82" i="50"/>
  <c r="H82" i="50" s="1"/>
  <c r="H43" i="50"/>
  <c r="H66" i="50"/>
  <c r="G55" i="50"/>
  <c r="H55" i="50" s="1"/>
  <c r="H84" i="50"/>
  <c r="H32" i="50"/>
  <c r="H41" i="50"/>
  <c r="F13" i="50"/>
  <c r="G34" i="50"/>
  <c r="I87" i="50"/>
  <c r="I86" i="50"/>
  <c r="I84" i="50"/>
  <c r="I81" i="50"/>
  <c r="I80" i="50" s="1"/>
  <c r="I78" i="50"/>
  <c r="I77" i="50"/>
  <c r="I74" i="50"/>
  <c r="I69" i="50"/>
  <c r="I67" i="50" s="1"/>
  <c r="I66" i="50"/>
  <c r="I63" i="50"/>
  <c r="I58" i="50"/>
  <c r="I54" i="50"/>
  <c r="I51" i="50"/>
  <c r="I48" i="50"/>
  <c r="I45" i="50"/>
  <c r="I43" i="50"/>
  <c r="I41" i="50"/>
  <c r="I34" i="50"/>
  <c r="I31" i="50"/>
  <c r="I29" i="50"/>
  <c r="I26" i="50"/>
  <c r="I27" i="50" s="1"/>
  <c r="I25" i="50"/>
  <c r="I14" i="50"/>
  <c r="I16" i="50" s="1"/>
  <c r="F94" i="50" l="1"/>
  <c r="F79" i="50"/>
  <c r="F88" i="50" s="1"/>
  <c r="H80" i="50"/>
  <c r="I89" i="50"/>
  <c r="G88" i="50"/>
  <c r="I55" i="50"/>
  <c r="I13" i="50"/>
  <c r="H34" i="50"/>
  <c r="G13" i="50"/>
  <c r="H13" i="50" s="1"/>
  <c r="I82" i="50"/>
  <c r="I79" i="50" s="1"/>
  <c r="I88" i="50" s="1"/>
  <c r="I90" i="50" l="1"/>
  <c r="F15" i="34"/>
  <c r="X9" i="34" s="1"/>
  <c r="H79" i="50"/>
  <c r="H88" i="50"/>
  <c r="G15" i="34"/>
  <c r="N15" i="34" l="1"/>
  <c r="X10" i="34"/>
  <c r="M15" i="34"/>
  <c r="H15" i="34"/>
  <c r="H224" i="49"/>
  <c r="H202" i="49"/>
  <c r="H201" i="49"/>
  <c r="H199" i="49"/>
  <c r="H198" i="49"/>
  <c r="H196" i="49"/>
  <c r="H190" i="49"/>
  <c r="H187" i="49"/>
  <c r="H174" i="49"/>
  <c r="H172" i="49"/>
  <c r="H171" i="49"/>
  <c r="H161" i="49"/>
  <c r="H159" i="49"/>
  <c r="H156" i="49"/>
  <c r="H151" i="49"/>
  <c r="H148" i="49"/>
  <c r="H143" i="49"/>
  <c r="H142" i="49"/>
  <c r="H135" i="49"/>
  <c r="H133" i="49"/>
  <c r="H132" i="49"/>
  <c r="H127" i="49"/>
  <c r="H125" i="49"/>
  <c r="H123" i="49"/>
  <c r="H121" i="49"/>
  <c r="H120" i="49"/>
  <c r="H112" i="49"/>
  <c r="H111" i="49"/>
  <c r="H75" i="48" l="1"/>
  <c r="H73" i="48"/>
  <c r="H70" i="48"/>
  <c r="H68" i="48"/>
  <c r="H65" i="48"/>
  <c r="H60" i="48"/>
  <c r="H57" i="48"/>
  <c r="H53" i="48"/>
  <c r="H51" i="48"/>
  <c r="H49" i="48"/>
  <c r="H44" i="48"/>
  <c r="H42" i="48"/>
  <c r="H25" i="48"/>
  <c r="H18" i="48"/>
  <c r="H40" i="48"/>
  <c r="H109" i="49"/>
  <c r="H107" i="49"/>
  <c r="H105" i="49"/>
  <c r="H104" i="49"/>
  <c r="H101" i="49"/>
  <c r="H81" i="49"/>
  <c r="H60" i="49"/>
  <c r="H59" i="49"/>
  <c r="H57" i="49"/>
  <c r="H47" i="49"/>
  <c r="H48" i="49" s="1"/>
  <c r="H43" i="49"/>
  <c r="H42" i="49"/>
  <c r="H41" i="49"/>
  <c r="H38" i="49"/>
  <c r="F40" i="49"/>
  <c r="G40" i="49"/>
  <c r="F37" i="49"/>
  <c r="G37" i="49"/>
  <c r="H35" i="49"/>
  <c r="H129" i="49"/>
  <c r="H130" i="49"/>
  <c r="H131" i="49"/>
  <c r="H136" i="49"/>
  <c r="H137" i="49"/>
  <c r="H139" i="49"/>
  <c r="H140" i="49"/>
  <c r="H146" i="49"/>
  <c r="H147" i="49"/>
  <c r="H154" i="49"/>
  <c r="H162" i="49"/>
  <c r="H175" i="49"/>
  <c r="H176" i="49"/>
  <c r="H218" i="49"/>
  <c r="H219" i="49"/>
  <c r="H223" i="49"/>
  <c r="H40" i="49" l="1"/>
  <c r="H37" i="49"/>
  <c r="F222" i="49"/>
  <c r="F27" i="34" s="1"/>
  <c r="G222" i="49"/>
  <c r="G27" i="34" s="1"/>
  <c r="F221" i="49"/>
  <c r="G221" i="49"/>
  <c r="G204" i="49"/>
  <c r="F204" i="49"/>
  <c r="F200" i="49"/>
  <c r="G200" i="49"/>
  <c r="F197" i="49"/>
  <c r="G197" i="49"/>
  <c r="F192" i="49"/>
  <c r="G192" i="49"/>
  <c r="F189" i="49"/>
  <c r="G189" i="49"/>
  <c r="H189" i="49" s="1"/>
  <c r="F179" i="49"/>
  <c r="G179" i="49"/>
  <c r="F178" i="49"/>
  <c r="G178" i="49"/>
  <c r="H178" i="49" s="1"/>
  <c r="F177" i="49"/>
  <c r="G177" i="49"/>
  <c r="F173" i="49"/>
  <c r="G173" i="49"/>
  <c r="F166" i="49"/>
  <c r="G166" i="49"/>
  <c r="F165" i="49"/>
  <c r="G165" i="49"/>
  <c r="F163" i="49"/>
  <c r="G163" i="49"/>
  <c r="F160" i="49"/>
  <c r="G160" i="49"/>
  <c r="F157" i="49"/>
  <c r="G157" i="49"/>
  <c r="F153" i="49"/>
  <c r="G153" i="49"/>
  <c r="F149" i="49"/>
  <c r="G149" i="49"/>
  <c r="F145" i="49"/>
  <c r="G145" i="49"/>
  <c r="F138" i="49"/>
  <c r="G138" i="49"/>
  <c r="F134" i="49"/>
  <c r="G134" i="49"/>
  <c r="H134" i="49" s="1"/>
  <c r="F128" i="49"/>
  <c r="G128" i="49"/>
  <c r="F126" i="49"/>
  <c r="G126" i="49"/>
  <c r="F124" i="49"/>
  <c r="G124" i="49"/>
  <c r="F122" i="49"/>
  <c r="G122" i="49"/>
  <c r="H122" i="49" s="1"/>
  <c r="G115" i="49"/>
  <c r="F115" i="49"/>
  <c r="F116" i="49" s="1"/>
  <c r="F113" i="49"/>
  <c r="G113" i="49"/>
  <c r="H113" i="49" s="1"/>
  <c r="F110" i="49"/>
  <c r="G110" i="49"/>
  <c r="F108" i="49"/>
  <c r="G108" i="49"/>
  <c r="F106" i="49"/>
  <c r="G106" i="49"/>
  <c r="F102" i="49"/>
  <c r="G102" i="49"/>
  <c r="H102" i="49" s="1"/>
  <c r="F96" i="49"/>
  <c r="F97" i="49" s="1"/>
  <c r="G96" i="49"/>
  <c r="F61" i="49"/>
  <c r="G61" i="49"/>
  <c r="F58" i="49"/>
  <c r="G58" i="49"/>
  <c r="H58" i="49" s="1"/>
  <c r="F48" i="49"/>
  <c r="G48" i="49"/>
  <c r="F44" i="49"/>
  <c r="G44" i="49"/>
  <c r="H18" i="49"/>
  <c r="F19" i="49"/>
  <c r="G19" i="49"/>
  <c r="G217" i="49" s="1"/>
  <c r="F17" i="49"/>
  <c r="F220" i="49" s="1"/>
  <c r="G17" i="49"/>
  <c r="F16" i="49"/>
  <c r="G16" i="49"/>
  <c r="F27" i="49"/>
  <c r="G27" i="49"/>
  <c r="F32" i="49"/>
  <c r="G32" i="49"/>
  <c r="F86" i="48"/>
  <c r="E99" i="48" s="1"/>
  <c r="F89" i="48"/>
  <c r="G89" i="48"/>
  <c r="F87" i="48"/>
  <c r="G87" i="48"/>
  <c r="H80" i="48"/>
  <c r="H79" i="48"/>
  <c r="H78" i="48"/>
  <c r="H77" i="48"/>
  <c r="F76" i="48"/>
  <c r="F72" i="48" s="1"/>
  <c r="G76" i="48"/>
  <c r="F74" i="48"/>
  <c r="G74" i="48"/>
  <c r="F71" i="48"/>
  <c r="G71" i="48"/>
  <c r="F69" i="48"/>
  <c r="G69" i="48"/>
  <c r="F66" i="48"/>
  <c r="G66" i="48"/>
  <c r="F61" i="48"/>
  <c r="G61" i="48"/>
  <c r="F58" i="48"/>
  <c r="G58" i="48"/>
  <c r="F54" i="48"/>
  <c r="G54" i="48"/>
  <c r="F52" i="48"/>
  <c r="G52" i="48"/>
  <c r="H67" i="48"/>
  <c r="H81" i="48"/>
  <c r="H82" i="48"/>
  <c r="H83" i="48"/>
  <c r="H95" i="48"/>
  <c r="F50" i="48"/>
  <c r="G50" i="48"/>
  <c r="F45" i="48"/>
  <c r="G45" i="48"/>
  <c r="F43" i="48"/>
  <c r="G43" i="48"/>
  <c r="F41" i="48"/>
  <c r="G41" i="48"/>
  <c r="F27" i="48"/>
  <c r="G27" i="48"/>
  <c r="F19" i="48"/>
  <c r="G19" i="48"/>
  <c r="F108" i="47"/>
  <c r="F109" i="47" s="1"/>
  <c r="G108" i="47"/>
  <c r="F103" i="47"/>
  <c r="F104" i="47" s="1"/>
  <c r="G103" i="47"/>
  <c r="G98" i="47"/>
  <c r="F98" i="47"/>
  <c r="F99" i="47" s="1"/>
  <c r="F92" i="47"/>
  <c r="F93" i="47" s="1"/>
  <c r="G92" i="47"/>
  <c r="G93" i="47" s="1"/>
  <c r="F88" i="47"/>
  <c r="F89" i="47" s="1"/>
  <c r="G88" i="47"/>
  <c r="G70" i="47"/>
  <c r="F70" i="47"/>
  <c r="F71" i="47" s="1"/>
  <c r="F66" i="47"/>
  <c r="F67" i="47" s="1"/>
  <c r="G66" i="47"/>
  <c r="F62" i="47"/>
  <c r="F63" i="47" s="1"/>
  <c r="G62" i="47"/>
  <c r="G59" i="47"/>
  <c r="F53" i="47"/>
  <c r="G53" i="47"/>
  <c r="F48" i="47"/>
  <c r="F49" i="47" s="1"/>
  <c r="G48" i="47"/>
  <c r="F45" i="47"/>
  <c r="F46" i="47" s="1"/>
  <c r="G45" i="47"/>
  <c r="F41" i="47"/>
  <c r="F42" i="47" s="1"/>
  <c r="G41" i="47"/>
  <c r="F38" i="47"/>
  <c r="G38" i="47"/>
  <c r="F20" i="47"/>
  <c r="F116" i="47" s="1"/>
  <c r="G20" i="47"/>
  <c r="F18" i="47"/>
  <c r="F118" i="47" s="1"/>
  <c r="G18" i="47"/>
  <c r="F17" i="47"/>
  <c r="G17" i="47"/>
  <c r="F29" i="47"/>
  <c r="G29" i="47"/>
  <c r="G36" i="47"/>
  <c r="H46" i="46"/>
  <c r="H41" i="46"/>
  <c r="F45" i="46"/>
  <c r="G45" i="46"/>
  <c r="F44" i="46"/>
  <c r="E57" i="46" s="1"/>
  <c r="G44" i="46"/>
  <c r="E42" i="46"/>
  <c r="F41" i="46"/>
  <c r="G41" i="46"/>
  <c r="F39" i="46"/>
  <c r="G39" i="46"/>
  <c r="H39" i="46"/>
  <c r="G37" i="46"/>
  <c r="H37" i="46"/>
  <c r="F37" i="46"/>
  <c r="H29" i="46"/>
  <c r="G29" i="46"/>
  <c r="F29" i="46"/>
  <c r="F27" i="46"/>
  <c r="G27" i="46"/>
  <c r="F25" i="46"/>
  <c r="G25" i="46"/>
  <c r="H25" i="46"/>
  <c r="F15" i="46"/>
  <c r="F12" i="46" s="1"/>
  <c r="G15" i="46"/>
  <c r="G12" i="46" l="1"/>
  <c r="H12" i="46" s="1"/>
  <c r="H15" i="46"/>
  <c r="F216" i="49"/>
  <c r="F231" i="49" s="1"/>
  <c r="F26" i="34"/>
  <c r="F47" i="34" s="1"/>
  <c r="H44" i="46"/>
  <c r="F57" i="46"/>
  <c r="H74" i="48"/>
  <c r="G216" i="49"/>
  <c r="F217" i="49"/>
  <c r="H44" i="49"/>
  <c r="H27" i="34"/>
  <c r="H83" i="49"/>
  <c r="H96" i="49"/>
  <c r="H110" i="49"/>
  <c r="H115" i="49"/>
  <c r="F103" i="49"/>
  <c r="H177" i="49"/>
  <c r="H192" i="49"/>
  <c r="H221" i="49"/>
  <c r="H153" i="49"/>
  <c r="H165" i="49"/>
  <c r="F167" i="49"/>
  <c r="F181" i="49"/>
  <c r="H17" i="49"/>
  <c r="F34" i="49"/>
  <c r="H124" i="49"/>
  <c r="H138" i="49"/>
  <c r="H157" i="49"/>
  <c r="H166" i="49"/>
  <c r="H200" i="49"/>
  <c r="H204" i="49"/>
  <c r="G97" i="49"/>
  <c r="H97" i="49" s="1"/>
  <c r="F24" i="34"/>
  <c r="H61" i="49"/>
  <c r="H197" i="49"/>
  <c r="H106" i="49"/>
  <c r="H126" i="49"/>
  <c r="H145" i="49"/>
  <c r="H160" i="49"/>
  <c r="G167" i="49"/>
  <c r="H179" i="49"/>
  <c r="H108" i="49"/>
  <c r="G116" i="49"/>
  <c r="H116" i="49" s="1"/>
  <c r="H128" i="49"/>
  <c r="H149" i="49"/>
  <c r="H163" i="49"/>
  <c r="H173" i="49"/>
  <c r="H45" i="46"/>
  <c r="H70" i="47"/>
  <c r="F59" i="48"/>
  <c r="H71" i="48"/>
  <c r="H66" i="48"/>
  <c r="H54" i="48"/>
  <c r="H27" i="48"/>
  <c r="H50" i="48"/>
  <c r="G17" i="48"/>
  <c r="G59" i="48"/>
  <c r="H59" i="48" s="1"/>
  <c r="G48" i="48"/>
  <c r="F48" i="48"/>
  <c r="H43" i="48"/>
  <c r="H41" i="48"/>
  <c r="H52" i="48"/>
  <c r="H61" i="48"/>
  <c r="G72" i="48"/>
  <c r="H72" i="48" s="1"/>
  <c r="H76" i="48"/>
  <c r="H86" i="48"/>
  <c r="H19" i="48"/>
  <c r="H58" i="48"/>
  <c r="H69" i="48"/>
  <c r="H89" i="48"/>
  <c r="H16" i="49"/>
  <c r="F21" i="49"/>
  <c r="F15" i="49" s="1"/>
  <c r="F25" i="34"/>
  <c r="H19" i="49"/>
  <c r="H98" i="47"/>
  <c r="H17" i="47"/>
  <c r="H41" i="47"/>
  <c r="H66" i="47"/>
  <c r="H20" i="47"/>
  <c r="H36" i="47"/>
  <c r="F87" i="47"/>
  <c r="H48" i="47"/>
  <c r="H62" i="47"/>
  <c r="F40" i="47"/>
  <c r="H29" i="47"/>
  <c r="H38" i="47"/>
  <c r="H53" i="47"/>
  <c r="H103" i="47"/>
  <c r="F97" i="47"/>
  <c r="F115" i="47"/>
  <c r="F128" i="47" s="1"/>
  <c r="H18" i="47"/>
  <c r="F56" i="47"/>
  <c r="H108" i="47"/>
  <c r="G46" i="47"/>
  <c r="H46" i="47" s="1"/>
  <c r="H45" i="47"/>
  <c r="G63" i="47"/>
  <c r="H88" i="47"/>
  <c r="G104" i="47"/>
  <c r="H104" i="47" s="1"/>
  <c r="G115" i="47"/>
  <c r="G128" i="47" s="1"/>
  <c r="G49" i="47"/>
  <c r="H49" i="47" s="1"/>
  <c r="G89" i="47"/>
  <c r="H89" i="47" s="1"/>
  <c r="G99" i="47"/>
  <c r="G116" i="47"/>
  <c r="H116" i="47" s="1"/>
  <c r="H93" i="47"/>
  <c r="G42" i="47"/>
  <c r="G71" i="47"/>
  <c r="H71" i="47" s="1"/>
  <c r="H59" i="47"/>
  <c r="H92" i="47"/>
  <c r="G109" i="47"/>
  <c r="H109" i="47" s="1"/>
  <c r="G118" i="47"/>
  <c r="G22" i="46"/>
  <c r="F22" i="46"/>
  <c r="G220" i="49"/>
  <c r="H220" i="49" s="1"/>
  <c r="G181" i="49"/>
  <c r="G21" i="49"/>
  <c r="F17" i="48"/>
  <c r="F85" i="48"/>
  <c r="F93" i="48" s="1"/>
  <c r="G85" i="48"/>
  <c r="G67" i="47"/>
  <c r="H67" i="47" s="1"/>
  <c r="F23" i="47"/>
  <c r="F16" i="47" s="1"/>
  <c r="G23" i="47"/>
  <c r="G43" i="46"/>
  <c r="F43" i="46"/>
  <c r="F52" i="46" s="1"/>
  <c r="F11" i="34" s="1"/>
  <c r="H22" i="46" l="1"/>
  <c r="G231" i="49"/>
  <c r="G34" i="49"/>
  <c r="H34" i="49" s="1"/>
  <c r="F158" i="49"/>
  <c r="H181" i="49"/>
  <c r="G158" i="49"/>
  <c r="H158" i="49" s="1"/>
  <c r="H167" i="49"/>
  <c r="H217" i="49"/>
  <c r="G103" i="49"/>
  <c r="H103" i="49" s="1"/>
  <c r="H21" i="49"/>
  <c r="F215" i="49"/>
  <c r="F225" i="49" s="1"/>
  <c r="F14" i="34" s="1"/>
  <c r="W9" i="34" s="1"/>
  <c r="F22" i="34"/>
  <c r="H216" i="49"/>
  <c r="M11" i="34"/>
  <c r="T9" i="34"/>
  <c r="G215" i="49"/>
  <c r="F13" i="34"/>
  <c r="V9" i="34" s="1"/>
  <c r="H43" i="46"/>
  <c r="H17" i="48"/>
  <c r="H48" i="48"/>
  <c r="F114" i="47"/>
  <c r="F123" i="47" s="1"/>
  <c r="G87" i="47"/>
  <c r="H87" i="47" s="1"/>
  <c r="G114" i="47"/>
  <c r="H115" i="47"/>
  <c r="H99" i="47"/>
  <c r="G97" i="47"/>
  <c r="H97" i="47" s="1"/>
  <c r="H63" i="47"/>
  <c r="G56" i="47"/>
  <c r="H56" i="47" s="1"/>
  <c r="H118" i="47"/>
  <c r="H23" i="47"/>
  <c r="G40" i="47"/>
  <c r="H40" i="47" s="1"/>
  <c r="H42" i="47"/>
  <c r="G52" i="46"/>
  <c r="H85" i="48"/>
  <c r="G93" i="48"/>
  <c r="G15" i="49"/>
  <c r="H15" i="49" s="1"/>
  <c r="G16" i="47"/>
  <c r="H16" i="47" s="1"/>
  <c r="G260" i="45"/>
  <c r="G244" i="45"/>
  <c r="G233" i="45"/>
  <c r="H233" i="45" s="1"/>
  <c r="G221" i="45"/>
  <c r="H221" i="45" s="1"/>
  <c r="G220" i="45"/>
  <c r="G218" i="45"/>
  <c r="H218" i="45" s="1"/>
  <c r="G216" i="45"/>
  <c r="H216" i="45" s="1"/>
  <c r="G165" i="45"/>
  <c r="G159" i="45"/>
  <c r="G79" i="45"/>
  <c r="H79" i="45" s="1"/>
  <c r="G78" i="45"/>
  <c r="H80" i="45"/>
  <c r="G124" i="45"/>
  <c r="H124" i="45" s="1"/>
  <c r="G118" i="45"/>
  <c r="H118" i="45" s="1"/>
  <c r="G112" i="45"/>
  <c r="H112" i="45" s="1"/>
  <c r="G106" i="45"/>
  <c r="H106" i="45" s="1"/>
  <c r="G100" i="45"/>
  <c r="H100" i="45" s="1"/>
  <c r="G88" i="45"/>
  <c r="H88" i="45" s="1"/>
  <c r="H77" i="45"/>
  <c r="G17" i="45"/>
  <c r="G16" i="45"/>
  <c r="G76" i="45"/>
  <c r="H76" i="45" s="1"/>
  <c r="G72" i="45"/>
  <c r="H72" i="45" s="1"/>
  <c r="G68" i="45"/>
  <c r="H68" i="45" s="1"/>
  <c r="G63" i="45"/>
  <c r="H63" i="45" s="1"/>
  <c r="G57" i="45"/>
  <c r="H57" i="45" s="1"/>
  <c r="G52" i="45"/>
  <c r="H52" i="45" s="1"/>
  <c r="G48" i="45"/>
  <c r="H48" i="45" s="1"/>
  <c r="G43" i="45"/>
  <c r="H43" i="45" s="1"/>
  <c r="G39" i="45"/>
  <c r="H39" i="45" s="1"/>
  <c r="G34" i="45"/>
  <c r="H34" i="45" s="1"/>
  <c r="G30" i="45"/>
  <c r="H30" i="45" s="1"/>
  <c r="G25" i="45"/>
  <c r="H25" i="45" s="1"/>
  <c r="F53" i="34" l="1"/>
  <c r="E37" i="34"/>
  <c r="H215" i="49"/>
  <c r="M14" i="34"/>
  <c r="F20" i="34"/>
  <c r="F30" i="34" s="1"/>
  <c r="M13" i="34"/>
  <c r="F12" i="34"/>
  <c r="H52" i="46"/>
  <c r="G285" i="45"/>
  <c r="G223" i="45"/>
  <c r="H223" i="45" s="1"/>
  <c r="G291" i="45"/>
  <c r="H291" i="45" s="1"/>
  <c r="G286" i="45"/>
  <c r="G288" i="45"/>
  <c r="H288" i="45" s="1"/>
  <c r="H17" i="45"/>
  <c r="G290" i="45"/>
  <c r="H16" i="45"/>
  <c r="H19" i="45"/>
  <c r="H244" i="45"/>
  <c r="G296" i="45"/>
  <c r="H93" i="48"/>
  <c r="G13" i="34"/>
  <c r="G258" i="45"/>
  <c r="H260" i="45"/>
  <c r="H114" i="47"/>
  <c r="G123" i="47"/>
  <c r="G11" i="34"/>
  <c r="G166" i="45"/>
  <c r="H166" i="45" s="1"/>
  <c r="H165" i="45"/>
  <c r="G160" i="45"/>
  <c r="H160" i="45" s="1"/>
  <c r="H159" i="45"/>
  <c r="H220" i="45"/>
  <c r="H78" i="45"/>
  <c r="G82" i="45"/>
  <c r="G225" i="49"/>
  <c r="G203" i="45"/>
  <c r="G21" i="45"/>
  <c r="H21" i="45" s="1"/>
  <c r="G22" i="34" l="1"/>
  <c r="G311" i="45"/>
  <c r="G26" i="34"/>
  <c r="N26" i="34" s="1"/>
  <c r="N13" i="34"/>
  <c r="V10" i="34"/>
  <c r="U9" i="34"/>
  <c r="F19" i="34"/>
  <c r="M19" i="34" s="1"/>
  <c r="N11" i="34"/>
  <c r="T10" i="34"/>
  <c r="M12" i="34"/>
  <c r="H286" i="45"/>
  <c r="G24" i="34"/>
  <c r="H285" i="45"/>
  <c r="G284" i="45"/>
  <c r="H290" i="45"/>
  <c r="G25" i="34"/>
  <c r="N25" i="34" s="1"/>
  <c r="G31" i="34"/>
  <c r="H31" i="34" s="1"/>
  <c r="H296" i="45"/>
  <c r="H13" i="34"/>
  <c r="G14" i="34"/>
  <c r="H225" i="49"/>
  <c r="H123" i="47"/>
  <c r="G12" i="34"/>
  <c r="H11" i="34"/>
  <c r="G158" i="45"/>
  <c r="H158" i="45" s="1"/>
  <c r="H203" i="45"/>
  <c r="G219" i="45"/>
  <c r="H219" i="45" s="1"/>
  <c r="H82" i="45"/>
  <c r="G15" i="45"/>
  <c r="H15" i="45" s="1"/>
  <c r="F37" i="34" l="1"/>
  <c r="H26" i="34"/>
  <c r="F48" i="34"/>
  <c r="G20" i="34"/>
  <c r="G30" i="34" s="1"/>
  <c r="N14" i="34"/>
  <c r="W10" i="34"/>
  <c r="N12" i="34"/>
  <c r="U10" i="34"/>
  <c r="H25" i="34"/>
  <c r="G53" i="34"/>
  <c r="H24" i="34"/>
  <c r="H43" i="34"/>
  <c r="H22" i="34"/>
  <c r="G295" i="45"/>
  <c r="H284" i="45"/>
  <c r="H14" i="34"/>
  <c r="H12" i="34"/>
  <c r="I58" i="54"/>
  <c r="I48" i="54"/>
  <c r="I18" i="51"/>
  <c r="H30" i="34" l="1"/>
  <c r="H20" i="34"/>
  <c r="G10" i="34"/>
  <c r="H295" i="45"/>
  <c r="I80" i="45"/>
  <c r="I26" i="51"/>
  <c r="I44" i="51"/>
  <c r="I46" i="51" s="1"/>
  <c r="N10" i="34" l="1"/>
  <c r="S10" i="34"/>
  <c r="G19" i="34"/>
  <c r="H10" i="34"/>
  <c r="I28" i="51"/>
  <c r="I69" i="52"/>
  <c r="I91" i="48"/>
  <c r="I27" i="48"/>
  <c r="I19" i="48"/>
  <c r="H19" i="34" l="1"/>
  <c r="N19" i="34"/>
  <c r="I89" i="45"/>
  <c r="H89" i="45" s="1"/>
  <c r="I156" i="45"/>
  <c r="H156" i="45" s="1"/>
  <c r="I207" i="45" l="1"/>
  <c r="I206" i="45"/>
  <c r="I22" i="49"/>
  <c r="I158" i="52"/>
  <c r="I69" i="45"/>
  <c r="I151" i="45"/>
  <c r="I97" i="45"/>
  <c r="I85" i="45"/>
  <c r="H85" i="45" s="1"/>
  <c r="I22" i="45"/>
  <c r="I103" i="45"/>
  <c r="I35" i="45"/>
  <c r="I109" i="45"/>
  <c r="I40" i="45"/>
  <c r="I91" i="45"/>
  <c r="I26" i="45"/>
  <c r="I58" i="45"/>
  <c r="I53" i="45"/>
  <c r="I49" i="45"/>
  <c r="I44" i="45"/>
  <c r="I23" i="51"/>
  <c r="H26" i="56"/>
  <c r="I202" i="45" l="1"/>
  <c r="I132" i="49"/>
  <c r="I112" i="54"/>
  <c r="I162" i="45" l="1"/>
  <c r="I159" i="45" s="1"/>
  <c r="I28" i="49"/>
  <c r="I30" i="49"/>
  <c r="I25" i="49"/>
  <c r="I114" i="49"/>
  <c r="I156" i="49"/>
  <c r="H86" i="56"/>
  <c r="H192" i="56" s="1"/>
  <c r="I185" i="54"/>
  <c r="I88" i="54"/>
  <c r="I89" i="54" s="1"/>
  <c r="E88" i="54"/>
  <c r="E89" i="54" s="1"/>
  <c r="I95" i="54"/>
  <c r="E95" i="54"/>
  <c r="C95" i="54"/>
  <c r="E92" i="54"/>
  <c r="C92" i="54"/>
  <c r="I72" i="54"/>
  <c r="I176" i="52"/>
  <c r="I127" i="52" l="1"/>
  <c r="E127" i="52"/>
  <c r="I129" i="52"/>
  <c r="E129" i="52"/>
  <c r="I117" i="52"/>
  <c r="E54" i="50"/>
  <c r="E84" i="50"/>
  <c r="I221" i="49"/>
  <c r="E221" i="49"/>
  <c r="E192" i="56"/>
  <c r="H65" i="56"/>
  <c r="I29" i="51" l="1"/>
  <c r="I18" i="49" l="1"/>
  <c r="I18" i="45"/>
  <c r="I16" i="49"/>
  <c r="I16" i="45" l="1"/>
  <c r="C49" i="58"/>
  <c r="C46" i="58"/>
  <c r="C42" i="58"/>
  <c r="C41" i="58"/>
  <c r="C37" i="58"/>
  <c r="C34" i="58"/>
  <c r="C32" i="58"/>
  <c r="C29" i="58"/>
  <c r="C27" i="58"/>
  <c r="C24" i="58"/>
  <c r="C21" i="58"/>
  <c r="C15" i="58"/>
  <c r="C10" i="58"/>
  <c r="C7" i="58"/>
  <c r="J96" i="51" l="1"/>
  <c r="K96" i="51"/>
  <c r="I96" i="51"/>
  <c r="I204" i="45" l="1"/>
  <c r="I201" i="45" s="1"/>
  <c r="I203" i="45" s="1"/>
  <c r="I147" i="52" l="1"/>
  <c r="I161" i="52"/>
  <c r="I149" i="52" l="1"/>
  <c r="I151" i="52" s="1"/>
  <c r="I223" i="49"/>
  <c r="E210" i="49"/>
  <c r="I23" i="49"/>
  <c r="I17" i="49" s="1"/>
  <c r="I86" i="48"/>
  <c r="I99" i="48" s="1"/>
  <c r="I113" i="54" l="1"/>
  <c r="I115" i="54" s="1"/>
  <c r="I65" i="45"/>
  <c r="I59" i="45"/>
  <c r="I54" i="45"/>
  <c r="I45" i="45"/>
  <c r="I36" i="45"/>
  <c r="I27" i="45"/>
  <c r="I17" i="45" l="1"/>
  <c r="H82" i="56"/>
  <c r="I290" i="45" l="1"/>
  <c r="I111" i="49"/>
  <c r="J102" i="51" l="1"/>
  <c r="K102" i="51"/>
  <c r="I175" i="52"/>
  <c r="I174" i="52"/>
  <c r="I89" i="48"/>
  <c r="I99" i="51"/>
  <c r="E77" i="50" l="1"/>
  <c r="H253" i="45"/>
  <c r="H246" i="45"/>
  <c r="H245" i="45"/>
  <c r="H235" i="45"/>
  <c r="H234" i="45"/>
  <c r="I20" i="45" l="1"/>
  <c r="E74" i="50"/>
  <c r="I294" i="45" l="1"/>
  <c r="I21" i="45"/>
  <c r="I145" i="49"/>
  <c r="I213" i="49" l="1"/>
  <c r="E44" i="49"/>
  <c r="I288" i="45" l="1"/>
  <c r="I59" i="49"/>
  <c r="I81" i="49"/>
  <c r="I15" i="34" l="1"/>
  <c r="I38" i="49"/>
  <c r="I60" i="49"/>
  <c r="I166" i="49"/>
  <c r="I261" i="45"/>
  <c r="I289" i="45" s="1"/>
  <c r="I152" i="49"/>
  <c r="I112" i="49"/>
  <c r="I179" i="49"/>
  <c r="I224" i="49" l="1"/>
  <c r="H37" i="56" l="1"/>
  <c r="H20" i="56"/>
  <c r="I97" i="54" l="1"/>
  <c r="I92" i="54" l="1"/>
  <c r="I184" i="54"/>
  <c r="I262" i="45"/>
  <c r="E262" i="45"/>
  <c r="C262" i="45"/>
  <c r="I23" i="34" l="1"/>
  <c r="J28" i="51"/>
  <c r="I57" i="49" l="1"/>
  <c r="I169" i="45"/>
  <c r="I77" i="45"/>
  <c r="I61" i="49"/>
  <c r="I66" i="52"/>
  <c r="I287" i="45" l="1"/>
  <c r="I286" i="45" s="1"/>
  <c r="I96" i="49"/>
  <c r="I218" i="49" s="1"/>
  <c r="I83" i="49"/>
  <c r="I80" i="54"/>
  <c r="I103" i="52"/>
  <c r="I48" i="51"/>
  <c r="I52" i="51"/>
  <c r="I47" i="51" s="1"/>
  <c r="I101" i="51" s="1"/>
  <c r="I204" i="49"/>
  <c r="I177" i="49"/>
  <c r="I179" i="45"/>
  <c r="I178" i="45"/>
  <c r="I177" i="45"/>
  <c r="I293" i="45" s="1"/>
  <c r="I165" i="45"/>
  <c r="I102" i="51" l="1"/>
  <c r="I49" i="51"/>
  <c r="I97" i="49"/>
  <c r="H172" i="56"/>
  <c r="H123" i="56"/>
  <c r="I160" i="54" l="1"/>
  <c r="I61" i="54"/>
  <c r="I164" i="52"/>
  <c r="I140" i="52"/>
  <c r="I165" i="52" l="1"/>
  <c r="I178" i="49"/>
  <c r="I47" i="49"/>
  <c r="I79" i="45"/>
  <c r="I285" i="45" s="1"/>
  <c r="I306" i="45" s="1"/>
  <c r="I157" i="45"/>
  <c r="H143" i="56"/>
  <c r="H29" i="56"/>
  <c r="I216" i="49" l="1"/>
  <c r="I82" i="45"/>
  <c r="I48" i="49"/>
  <c r="I207" i="49" l="1"/>
  <c r="I47" i="48" l="1"/>
  <c r="E47" i="48"/>
  <c r="I167" i="54"/>
  <c r="I137" i="54"/>
  <c r="I69" i="54"/>
  <c r="E69" i="54"/>
  <c r="E213" i="49" l="1"/>
  <c r="I244" i="45" l="1"/>
  <c r="E244" i="45"/>
  <c r="I233" i="45"/>
  <c r="E233" i="45"/>
  <c r="I291" i="45"/>
  <c r="I181" i="45" l="1"/>
  <c r="I223" i="45" l="1"/>
  <c r="A4" i="54" l="1"/>
  <c r="E29" i="34" l="1"/>
  <c r="E28" i="34"/>
  <c r="I260" i="45" l="1"/>
  <c r="I258" i="45" s="1"/>
  <c r="E46" i="56"/>
  <c r="E39" i="56"/>
  <c r="I82" i="47" l="1"/>
  <c r="I84" i="47" s="1"/>
  <c r="I52" i="52" l="1"/>
  <c r="I146" i="54" l="1"/>
  <c r="I141" i="52" l="1"/>
  <c r="I252" i="45" l="1"/>
  <c r="I296" i="45" s="1"/>
  <c r="I230" i="45"/>
  <c r="I218" i="45"/>
  <c r="I216" i="45"/>
  <c r="I166" i="45"/>
  <c r="I148" i="45"/>
  <c r="I142" i="45"/>
  <c r="I136" i="45"/>
  <c r="I130" i="45"/>
  <c r="I124" i="45"/>
  <c r="I118" i="45"/>
  <c r="I112" i="45"/>
  <c r="I106" i="45"/>
  <c r="I100" i="45"/>
  <c r="I94" i="45"/>
  <c r="I76" i="45"/>
  <c r="I72" i="45"/>
  <c r="I68" i="45"/>
  <c r="I63" i="45"/>
  <c r="I57" i="45"/>
  <c r="I52" i="45"/>
  <c r="I48" i="45"/>
  <c r="I43" i="45"/>
  <c r="I39" i="45"/>
  <c r="I34" i="45"/>
  <c r="I30" i="45"/>
  <c r="I25" i="45"/>
  <c r="H189" i="56"/>
  <c r="H188" i="56"/>
  <c r="H186" i="56"/>
  <c r="H180" i="56"/>
  <c r="H191" i="56" s="1"/>
  <c r="H169" i="56"/>
  <c r="H165" i="56" s="1"/>
  <c r="H164" i="56"/>
  <c r="H145" i="56"/>
  <c r="H142" i="56"/>
  <c r="H139" i="56"/>
  <c r="H136" i="56"/>
  <c r="H126" i="56"/>
  <c r="H121" i="56"/>
  <c r="H119" i="56" s="1"/>
  <c r="H118" i="56"/>
  <c r="H116" i="56"/>
  <c r="H114" i="56"/>
  <c r="H112" i="56"/>
  <c r="H109" i="56"/>
  <c r="H107" i="56"/>
  <c r="H105" i="56"/>
  <c r="H96" i="56"/>
  <c r="H92" i="56"/>
  <c r="H89" i="56"/>
  <c r="H87" i="56"/>
  <c r="H85" i="56"/>
  <c r="H80" i="56"/>
  <c r="H77" i="56"/>
  <c r="H74" i="56"/>
  <c r="H72" i="56"/>
  <c r="H70" i="56"/>
  <c r="H67" i="56"/>
  <c r="H62" i="56"/>
  <c r="H59" i="56"/>
  <c r="H57" i="56"/>
  <c r="H55" i="56"/>
  <c r="H53" i="56"/>
  <c r="H51" i="56"/>
  <c r="H46" i="56"/>
  <c r="H38" i="56"/>
  <c r="H34" i="56"/>
  <c r="H32" i="56"/>
  <c r="H30" i="56"/>
  <c r="H93" i="56" l="1"/>
  <c r="H122" i="56"/>
  <c r="H193" i="56"/>
  <c r="H210" i="56" s="1"/>
  <c r="H173" i="56"/>
  <c r="H181" i="56"/>
  <c r="H110" i="56"/>
  <c r="I284" i="45"/>
  <c r="I295" i="45" s="1"/>
  <c r="I170" i="45"/>
  <c r="I160" i="45"/>
  <c r="H23" i="56"/>
  <c r="H19" i="56" s="1"/>
  <c r="H39" i="56"/>
  <c r="H35" i="56" s="1"/>
  <c r="E105" i="52"/>
  <c r="E108" i="52" s="1"/>
  <c r="I111" i="52"/>
  <c r="I109" i="52"/>
  <c r="I105" i="52" s="1"/>
  <c r="I179" i="52" s="1"/>
  <c r="E112" i="52"/>
  <c r="I170" i="52"/>
  <c r="E149" i="52"/>
  <c r="E151" i="52" s="1"/>
  <c r="I155" i="52"/>
  <c r="E155" i="52"/>
  <c r="I153" i="52"/>
  <c r="E153" i="52"/>
  <c r="I116" i="52"/>
  <c r="E116" i="52"/>
  <c r="I134" i="52"/>
  <c r="E134" i="52"/>
  <c r="I121" i="52"/>
  <c r="I119" i="52"/>
  <c r="I126" i="52"/>
  <c r="E126" i="52"/>
  <c r="J48" i="52"/>
  <c r="I48" i="52"/>
  <c r="E48" i="52"/>
  <c r="J44" i="52"/>
  <c r="I44" i="52"/>
  <c r="E44" i="52"/>
  <c r="H204" i="56" l="1"/>
  <c r="I301" i="45"/>
  <c r="I15" i="45"/>
  <c r="H171" i="56"/>
  <c r="I158" i="45"/>
  <c r="I107" i="52"/>
  <c r="H190" i="56"/>
  <c r="I112" i="52"/>
  <c r="E130" i="52"/>
  <c r="I130" i="52"/>
  <c r="I122" i="52"/>
  <c r="I40" i="52"/>
  <c r="I108" i="52" l="1"/>
  <c r="I178" i="52"/>
  <c r="I26" i="34"/>
  <c r="I11" i="34"/>
  <c r="I12" i="34"/>
  <c r="H198" i="56"/>
  <c r="I29" i="34" l="1"/>
  <c r="I10" i="34"/>
  <c r="I9" i="34"/>
  <c r="I19" i="52"/>
  <c r="I173" i="52" s="1"/>
  <c r="I185" i="52" s="1"/>
  <c r="E19" i="52"/>
  <c r="E173" i="52" s="1"/>
  <c r="I17" i="52"/>
  <c r="I20" i="52" s="1"/>
  <c r="E17" i="52"/>
  <c r="E20" i="52" s="1"/>
  <c r="I36" i="52"/>
  <c r="E36" i="52"/>
  <c r="I32" i="52"/>
  <c r="E32" i="52"/>
  <c r="I28" i="52"/>
  <c r="E28" i="52"/>
  <c r="I24" i="52"/>
  <c r="I181" i="52" s="1"/>
  <c r="E24" i="52"/>
  <c r="I157" i="52"/>
  <c r="E157" i="52"/>
  <c r="B4" i="51"/>
  <c r="B7" i="51"/>
  <c r="A7" i="51"/>
  <c r="B6" i="51"/>
  <c r="A6" i="51"/>
  <c r="B5" i="51"/>
  <c r="A5" i="51"/>
  <c r="A4" i="51"/>
  <c r="B3" i="51"/>
  <c r="A3" i="51"/>
  <c r="B7" i="49"/>
  <c r="A7" i="49"/>
  <c r="B6" i="49"/>
  <c r="A6" i="49"/>
  <c r="B5" i="49"/>
  <c r="A5" i="49"/>
  <c r="B4" i="49"/>
  <c r="A4" i="49"/>
  <c r="B9" i="48"/>
  <c r="A9" i="48"/>
  <c r="B8" i="48"/>
  <c r="A8" i="48"/>
  <c r="B7" i="48"/>
  <c r="A7" i="48"/>
  <c r="B6" i="48"/>
  <c r="A6" i="48"/>
  <c r="B5" i="48"/>
  <c r="A5" i="48"/>
  <c r="B8" i="47"/>
  <c r="A8" i="47"/>
  <c r="B7" i="47"/>
  <c r="A7" i="47"/>
  <c r="B6" i="47"/>
  <c r="A6" i="47"/>
  <c r="B5" i="47"/>
  <c r="A5" i="47"/>
  <c r="B4" i="47"/>
  <c r="A4" i="47"/>
  <c r="B5" i="46"/>
  <c r="A5" i="46"/>
  <c r="B4" i="46"/>
  <c r="A4" i="46"/>
  <c r="E141" i="54"/>
  <c r="E137" i="54"/>
  <c r="B15" i="54"/>
  <c r="A15" i="54"/>
  <c r="B14" i="54"/>
  <c r="A14" i="54"/>
  <c r="B13" i="54"/>
  <c r="A13" i="54"/>
  <c r="B12" i="54"/>
  <c r="A12" i="54"/>
  <c r="B11" i="54"/>
  <c r="A11" i="54"/>
  <c r="B10" i="54"/>
  <c r="A10" i="54"/>
  <c r="B9" i="54"/>
  <c r="A9" i="54"/>
  <c r="B8" i="54"/>
  <c r="A8" i="54"/>
  <c r="B7" i="54"/>
  <c r="A7" i="54"/>
  <c r="B6" i="54"/>
  <c r="A6" i="54"/>
  <c r="B5" i="54"/>
  <c r="A5" i="54"/>
  <c r="B4" i="54"/>
  <c r="B6" i="45"/>
  <c r="A6" i="45"/>
  <c r="B5" i="45"/>
  <c r="A5" i="45"/>
  <c r="B4" i="45"/>
  <c r="A4" i="45"/>
  <c r="B3" i="45"/>
  <c r="A3" i="45"/>
  <c r="A4" i="56"/>
  <c r="B10" i="56"/>
  <c r="A10" i="56"/>
  <c r="B9" i="56"/>
  <c r="A9" i="56"/>
  <c r="B8" i="56"/>
  <c r="A8" i="56"/>
  <c r="B7" i="56"/>
  <c r="A7" i="56"/>
  <c r="B6" i="56"/>
  <c r="A6" i="56"/>
  <c r="B5" i="56"/>
  <c r="A5" i="56"/>
  <c r="B3" i="56"/>
  <c r="A3" i="56"/>
  <c r="B9" i="52"/>
  <c r="A9" i="52"/>
  <c r="B8" i="52"/>
  <c r="A8" i="52"/>
  <c r="B7" i="52"/>
  <c r="A7" i="52"/>
  <c r="B6" i="52"/>
  <c r="A6" i="52"/>
  <c r="B5" i="52"/>
  <c r="A5" i="52"/>
  <c r="B4" i="52"/>
  <c r="A4" i="52"/>
  <c r="B3" i="52"/>
  <c r="A3" i="52"/>
  <c r="I143" i="52"/>
  <c r="I118" i="52"/>
  <c r="I97" i="52"/>
  <c r="I95" i="52"/>
  <c r="I92" i="52"/>
  <c r="I86" i="52"/>
  <c r="I84" i="52"/>
  <c r="E16" i="49"/>
  <c r="E17" i="49"/>
  <c r="E19" i="49"/>
  <c r="I19" i="49"/>
  <c r="E20" i="49"/>
  <c r="I20" i="49"/>
  <c r="E15" i="46"/>
  <c r="E12" i="46" s="1"/>
  <c r="E25" i="46"/>
  <c r="E27" i="46"/>
  <c r="E29" i="46"/>
  <c r="E37" i="46"/>
  <c r="E16" i="45"/>
  <c r="E19" i="45"/>
  <c r="E23" i="45"/>
  <c r="I219" i="49" l="1"/>
  <c r="I217" i="49" s="1"/>
  <c r="I21" i="49"/>
  <c r="E21" i="49"/>
  <c r="E15" i="49" s="1"/>
  <c r="E20" i="56"/>
  <c r="E29" i="56"/>
  <c r="E193" i="56"/>
  <c r="E188" i="56"/>
  <c r="E186" i="56"/>
  <c r="E181" i="56"/>
  <c r="E173" i="56"/>
  <c r="E169" i="56"/>
  <c r="E164" i="56"/>
  <c r="E145" i="56"/>
  <c r="E142" i="56"/>
  <c r="E139" i="56"/>
  <c r="E136" i="56"/>
  <c r="E126" i="56"/>
  <c r="E121" i="56"/>
  <c r="E118" i="56"/>
  <c r="E116" i="56"/>
  <c r="E114" i="56"/>
  <c r="C114" i="56"/>
  <c r="B114" i="56"/>
  <c r="E112" i="56"/>
  <c r="E109" i="56"/>
  <c r="E107" i="56"/>
  <c r="E105" i="56"/>
  <c r="E96" i="56"/>
  <c r="E92" i="56"/>
  <c r="E89" i="56"/>
  <c r="E87" i="56"/>
  <c r="E85" i="56"/>
  <c r="E82" i="56"/>
  <c r="E80" i="56"/>
  <c r="E77" i="56"/>
  <c r="E74" i="56"/>
  <c r="E72" i="56"/>
  <c r="E70" i="56"/>
  <c r="E67" i="56"/>
  <c r="E62" i="56"/>
  <c r="E59" i="56"/>
  <c r="E57" i="56"/>
  <c r="E55" i="56"/>
  <c r="E53" i="56"/>
  <c r="E51" i="56"/>
  <c r="E34" i="56"/>
  <c r="E32" i="56"/>
  <c r="E35" i="56" l="1"/>
  <c r="I172" i="52"/>
  <c r="I180" i="52" s="1"/>
  <c r="I15" i="49"/>
  <c r="E119" i="56"/>
  <c r="E23" i="56"/>
  <c r="E165" i="56"/>
  <c r="E122" i="56"/>
  <c r="E30" i="56"/>
  <c r="E171" i="56"/>
  <c r="E110" i="56"/>
  <c r="E93" i="56"/>
  <c r="E191" i="56"/>
  <c r="E176" i="52"/>
  <c r="E190" i="56" l="1"/>
  <c r="E19" i="56"/>
  <c r="E198" i="56" l="1"/>
  <c r="E9" i="34" l="1"/>
  <c r="H200" i="56"/>
  <c r="I113" i="47"/>
  <c r="I108" i="47"/>
  <c r="I109" i="47" s="1"/>
  <c r="E108" i="47"/>
  <c r="I103" i="47"/>
  <c r="I104" i="47" s="1"/>
  <c r="E103" i="47"/>
  <c r="I98" i="47"/>
  <c r="I99" i="47" s="1"/>
  <c r="E98" i="47"/>
  <c r="I92" i="47"/>
  <c r="I93" i="47" s="1"/>
  <c r="E92" i="47"/>
  <c r="I88" i="47"/>
  <c r="I89" i="47" s="1"/>
  <c r="E88" i="47"/>
  <c r="I70" i="47"/>
  <c r="E70" i="47"/>
  <c r="I66" i="47"/>
  <c r="E66" i="47"/>
  <c r="I62" i="47"/>
  <c r="I63" i="47" s="1"/>
  <c r="E62" i="47"/>
  <c r="I59" i="47" a="1"/>
  <c r="I59" i="47" s="1"/>
  <c r="E57" i="47"/>
  <c r="E53" i="47"/>
  <c r="I52" i="47"/>
  <c r="I53" i="47" s="1"/>
  <c r="I48" i="47"/>
  <c r="I49" i="47" s="1"/>
  <c r="E48" i="47"/>
  <c r="I45" i="47"/>
  <c r="I46" i="47" s="1"/>
  <c r="E45" i="47"/>
  <c r="I41" i="47"/>
  <c r="E41" i="47"/>
  <c r="I38" i="47"/>
  <c r="E38" i="47"/>
  <c r="I36" i="47"/>
  <c r="E36" i="47"/>
  <c r="I29" i="47"/>
  <c r="E29" i="47"/>
  <c r="I22" i="47"/>
  <c r="E22" i="47"/>
  <c r="I21" i="47"/>
  <c r="I119" i="47" s="1"/>
  <c r="E21" i="47"/>
  <c r="I20" i="47"/>
  <c r="I116" i="47" s="1"/>
  <c r="E20" i="47"/>
  <c r="I18" i="47"/>
  <c r="I118" i="47" s="1"/>
  <c r="E18" i="47"/>
  <c r="I17" i="47"/>
  <c r="E17" i="47"/>
  <c r="R8" i="34" l="1"/>
  <c r="E118" i="47"/>
  <c r="E46" i="47"/>
  <c r="E63" i="47"/>
  <c r="E71" i="47"/>
  <c r="E93" i="47"/>
  <c r="E23" i="47"/>
  <c r="E42" i="47"/>
  <c r="E49" i="47"/>
  <c r="E116" i="47"/>
  <c r="E67" i="47"/>
  <c r="E89" i="47"/>
  <c r="E99" i="47"/>
  <c r="E109" i="47"/>
  <c r="I23" i="47"/>
  <c r="I16" i="47" s="1"/>
  <c r="I87" i="47"/>
  <c r="I97" i="47"/>
  <c r="E59" i="47"/>
  <c r="I67" i="47"/>
  <c r="I115" i="47"/>
  <c r="I114" i="47" s="1"/>
  <c r="E115" i="47"/>
  <c r="E114" i="47" s="1"/>
  <c r="E104" i="47"/>
  <c r="I71" i="47"/>
  <c r="I42" i="47"/>
  <c r="E16" i="47" l="1"/>
  <c r="E40" i="47"/>
  <c r="E87" i="47"/>
  <c r="E97" i="47"/>
  <c r="E56" i="47"/>
  <c r="I56" i="47"/>
  <c r="I40" i="47"/>
  <c r="I123" i="47"/>
  <c r="E123" i="47" l="1"/>
  <c r="E12" i="34" l="1"/>
  <c r="U8" i="34" s="1"/>
  <c r="K62" i="51" l="1"/>
  <c r="J62" i="51"/>
  <c r="I62" i="51"/>
  <c r="E62" i="51"/>
  <c r="I222" i="49" l="1"/>
  <c r="I153" i="49"/>
  <c r="I138" i="49"/>
  <c r="I134" i="49"/>
  <c r="I131" i="49"/>
  <c r="I128" i="49"/>
  <c r="I124" i="49"/>
  <c r="I46" i="49"/>
  <c r="I165" i="49" l="1"/>
  <c r="I220" i="49" l="1"/>
  <c r="I167" i="49"/>
  <c r="I215" i="49" l="1"/>
  <c r="I232" i="49"/>
  <c r="I122" i="49"/>
  <c r="I58" i="49"/>
  <c r="I32" i="49"/>
  <c r="I27" i="49"/>
  <c r="I225" i="49" l="1"/>
  <c r="I197" i="49"/>
  <c r="I195" i="49"/>
  <c r="I192" i="49"/>
  <c r="I181" i="49"/>
  <c r="I173" i="49"/>
  <c r="I163" i="49"/>
  <c r="I160" i="49"/>
  <c r="I157" i="49"/>
  <c r="I149" i="49"/>
  <c r="I147" i="49"/>
  <c r="I140" i="49"/>
  <c r="I116" i="49"/>
  <c r="I113" i="49"/>
  <c r="I110" i="49"/>
  <c r="I108" i="49"/>
  <c r="I106" i="49"/>
  <c r="I102" i="49"/>
  <c r="I44" i="49"/>
  <c r="I40" i="49"/>
  <c r="I37" i="49"/>
  <c r="I226" i="49" l="1"/>
  <c r="I34" i="49"/>
  <c r="I158" i="49"/>
  <c r="I14" i="34"/>
  <c r="E69" i="50"/>
  <c r="E67" i="50" s="1"/>
  <c r="E66" i="50"/>
  <c r="E45" i="50"/>
  <c r="E43" i="50"/>
  <c r="E41" i="50"/>
  <c r="E33" i="50"/>
  <c r="E32" i="50"/>
  <c r="E31" i="50"/>
  <c r="E29" i="50"/>
  <c r="E27" i="50"/>
  <c r="E16" i="50"/>
  <c r="E222" i="49"/>
  <c r="I214" i="49"/>
  <c r="E204" i="49"/>
  <c r="E200" i="49"/>
  <c r="E197" i="49"/>
  <c r="E195" i="49"/>
  <c r="E192" i="49"/>
  <c r="E189" i="49"/>
  <c r="E179" i="49"/>
  <c r="E178" i="49"/>
  <c r="E177" i="49"/>
  <c r="E173" i="49"/>
  <c r="C173" i="49"/>
  <c r="C167" i="49"/>
  <c r="B167" i="49"/>
  <c r="E166" i="49"/>
  <c r="E165" i="49"/>
  <c r="E163" i="49"/>
  <c r="C163" i="49"/>
  <c r="B163" i="49"/>
  <c r="E160" i="49"/>
  <c r="C160" i="49"/>
  <c r="B160" i="49"/>
  <c r="E157" i="49"/>
  <c r="E153" i="49"/>
  <c r="E149" i="49"/>
  <c r="E147" i="49"/>
  <c r="E145" i="49"/>
  <c r="E140" i="49"/>
  <c r="E138" i="49"/>
  <c r="E134" i="49"/>
  <c r="E131" i="49"/>
  <c r="E128" i="49"/>
  <c r="I126" i="49"/>
  <c r="I103" i="49" s="1"/>
  <c r="E126" i="49"/>
  <c r="E124" i="49"/>
  <c r="E122" i="49"/>
  <c r="E116" i="49"/>
  <c r="E113" i="49"/>
  <c r="E110" i="49"/>
  <c r="E108" i="49"/>
  <c r="E106" i="49"/>
  <c r="E102" i="49"/>
  <c r="E96" i="49"/>
  <c r="E81" i="49"/>
  <c r="E59" i="49"/>
  <c r="E58" i="49"/>
  <c r="E48" i="49"/>
  <c r="E40" i="49"/>
  <c r="E37" i="49"/>
  <c r="E32" i="49"/>
  <c r="E27" i="49"/>
  <c r="E83" i="49" l="1"/>
  <c r="E97" i="49"/>
  <c r="E61" i="49"/>
  <c r="E82" i="50"/>
  <c r="E103" i="49"/>
  <c r="E80" i="50"/>
  <c r="E34" i="50"/>
  <c r="E13" i="50" s="1"/>
  <c r="E55" i="50"/>
  <c r="E167" i="49"/>
  <c r="E220" i="49"/>
  <c r="E216" i="49"/>
  <c r="E181" i="49"/>
  <c r="E217" i="49"/>
  <c r="E79" i="50" l="1"/>
  <c r="E215" i="49"/>
  <c r="E34" i="49"/>
  <c r="E158" i="49"/>
  <c r="E88" i="50" l="1"/>
  <c r="E225" i="49"/>
  <c r="E15" i="34" l="1"/>
  <c r="X8" i="34" s="1"/>
  <c r="E14" i="34"/>
  <c r="W8" i="34" s="1"/>
  <c r="I227" i="49"/>
  <c r="I83" i="48"/>
  <c r="I81" i="48" s="1"/>
  <c r="E83" i="48"/>
  <c r="E81" i="48" s="1"/>
  <c r="I179" i="54" l="1"/>
  <c r="I186" i="54"/>
  <c r="I183" i="54"/>
  <c r="I173" i="54"/>
  <c r="I170" i="54"/>
  <c r="I176" i="54"/>
  <c r="I158" i="54"/>
  <c r="I156" i="54"/>
  <c r="I154" i="54"/>
  <c r="I152" i="54"/>
  <c r="I148" i="54"/>
  <c r="I66" i="54"/>
  <c r="I75" i="54"/>
  <c r="I83" i="54"/>
  <c r="I85" i="54"/>
  <c r="I87" i="54"/>
  <c r="I98" i="54"/>
  <c r="I106" i="54"/>
  <c r="I140" i="54"/>
  <c r="E140" i="54"/>
  <c r="E138" i="54" s="1"/>
  <c r="I111" i="54" l="1"/>
  <c r="I174" i="54"/>
  <c r="I27" i="34"/>
  <c r="I25" i="34"/>
  <c r="I138" i="54"/>
  <c r="I165" i="54"/>
  <c r="I177" i="54"/>
  <c r="I171" i="54"/>
  <c r="I144" i="54"/>
  <c r="I81" i="54"/>
  <c r="I71" i="54"/>
  <c r="I62" i="54"/>
  <c r="I60" i="54"/>
  <c r="I52" i="54"/>
  <c r="I50" i="54"/>
  <c r="I44" i="54"/>
  <c r="I38" i="54"/>
  <c r="I190" i="54" s="1"/>
  <c r="I63" i="54" l="1"/>
  <c r="I187" i="54"/>
  <c r="I28" i="34" s="1"/>
  <c r="I34" i="54"/>
  <c r="I64" i="51"/>
  <c r="I95" i="51" s="1"/>
  <c r="J64" i="51"/>
  <c r="K64" i="51"/>
  <c r="I109" i="51" l="1"/>
  <c r="I94" i="51"/>
  <c r="K65" i="51"/>
  <c r="K63" i="51" s="1"/>
  <c r="K95" i="51"/>
  <c r="J65" i="51"/>
  <c r="J63" i="51" s="1"/>
  <c r="J95" i="51"/>
  <c r="I65" i="51"/>
  <c r="I28" i="54"/>
  <c r="I182" i="54" s="1"/>
  <c r="I194" i="54" s="1"/>
  <c r="I25" i="54"/>
  <c r="I22" i="34" l="1"/>
  <c r="I63" i="51"/>
  <c r="I29" i="54"/>
  <c r="I181" i="54" l="1"/>
  <c r="I103" i="51"/>
  <c r="E89" i="48"/>
  <c r="I87" i="48"/>
  <c r="I85" i="48" s="1"/>
  <c r="I24" i="34" l="1"/>
  <c r="I189" i="54"/>
  <c r="I52" i="48"/>
  <c r="I66" i="48"/>
  <c r="I20" i="34" l="1"/>
  <c r="I30" i="34" s="1"/>
  <c r="I18" i="34"/>
  <c r="I45" i="48"/>
  <c r="I43" i="48"/>
  <c r="I41" i="48"/>
  <c r="I17" i="48" l="1"/>
  <c r="J99" i="51"/>
  <c r="K99" i="51"/>
  <c r="K92" i="51" l="1"/>
  <c r="J92" i="51"/>
  <c r="J89" i="51" l="1"/>
  <c r="K89" i="51"/>
  <c r="J94" i="51"/>
  <c r="K94" i="51"/>
  <c r="I24" i="51"/>
  <c r="J24" i="51"/>
  <c r="K24" i="51"/>
  <c r="E24" i="51"/>
  <c r="I59" i="51" l="1"/>
  <c r="J59" i="51"/>
  <c r="K59" i="51"/>
  <c r="I34" i="51"/>
  <c r="J34" i="51"/>
  <c r="K34" i="51"/>
  <c r="E34" i="51"/>
  <c r="K104" i="51" l="1"/>
  <c r="J104" i="51"/>
  <c r="I20" i="51"/>
  <c r="J20" i="51"/>
  <c r="K20" i="51"/>
  <c r="I37" i="51"/>
  <c r="J37" i="51"/>
  <c r="K37" i="51"/>
  <c r="E37" i="51"/>
  <c r="I42" i="51"/>
  <c r="J42" i="51"/>
  <c r="K42" i="51"/>
  <c r="K28" i="51" l="1"/>
  <c r="E28" i="51"/>
  <c r="J18" i="51"/>
  <c r="K18" i="51"/>
  <c r="I56" i="51"/>
  <c r="J56" i="51"/>
  <c r="K56" i="51"/>
  <c r="J46" i="51"/>
  <c r="K46" i="51"/>
  <c r="E186" i="54"/>
  <c r="E185" i="54"/>
  <c r="E184" i="54"/>
  <c r="E183" i="54"/>
  <c r="E152" i="54"/>
  <c r="E106" i="54"/>
  <c r="E98" i="54"/>
  <c r="E87" i="54"/>
  <c r="C87" i="54"/>
  <c r="B87" i="54"/>
  <c r="E80" i="54"/>
  <c r="E75" i="54"/>
  <c r="E58" i="54"/>
  <c r="E44" i="54"/>
  <c r="E28" i="54"/>
  <c r="E25" i="54"/>
  <c r="E182" i="54" l="1"/>
  <c r="E181" i="54" s="1"/>
  <c r="E27" i="34"/>
  <c r="E189" i="54" l="1"/>
  <c r="I191" i="54" s="1"/>
  <c r="E174" i="52"/>
  <c r="E175" i="52"/>
  <c r="E66" i="52"/>
  <c r="E170" i="52"/>
  <c r="I168" i="52"/>
  <c r="E161" i="52"/>
  <c r="E139" i="52"/>
  <c r="E74" i="52"/>
  <c r="E172" i="52" l="1"/>
  <c r="E168" i="52"/>
  <c r="E18" i="51"/>
  <c r="E56" i="51"/>
  <c r="E49" i="51"/>
  <c r="E46" i="51"/>
  <c r="E42" i="51"/>
  <c r="E95" i="51" l="1"/>
  <c r="E87" i="48"/>
  <c r="E86" i="48"/>
  <c r="I76" i="48"/>
  <c r="E76" i="48"/>
  <c r="E27" i="48"/>
  <c r="E94" i="51" l="1"/>
  <c r="E85" i="48"/>
  <c r="E179" i="54" l="1"/>
  <c r="E176" i="54"/>
  <c r="E173" i="54"/>
  <c r="E170" i="54"/>
  <c r="E167" i="54"/>
  <c r="E162" i="54"/>
  <c r="E164" i="54"/>
  <c r="E160" i="54"/>
  <c r="E156" i="54"/>
  <c r="E154" i="54"/>
  <c r="E148" i="54"/>
  <c r="E146" i="54"/>
  <c r="E165" i="52"/>
  <c r="I163" i="52"/>
  <c r="I148" i="52" s="1"/>
  <c r="E163" i="52"/>
  <c r="E143" i="52"/>
  <c r="E141" i="52"/>
  <c r="E136" i="52"/>
  <c r="E118" i="52"/>
  <c r="E103" i="52"/>
  <c r="I99" i="52"/>
  <c r="E99" i="52"/>
  <c r="E95" i="52"/>
  <c r="E92" i="52"/>
  <c r="I90" i="52"/>
  <c r="E90" i="52"/>
  <c r="I171" i="52"/>
  <c r="I101" i="52"/>
  <c r="E101" i="52"/>
  <c r="I81" i="52"/>
  <c r="E81" i="52"/>
  <c r="I79" i="52"/>
  <c r="E79" i="52"/>
  <c r="I77" i="52"/>
  <c r="E77" i="52"/>
  <c r="I74" i="52"/>
  <c r="E69" i="52"/>
  <c r="I63" i="52"/>
  <c r="E63" i="52"/>
  <c r="E52" i="52"/>
  <c r="I50" i="52"/>
  <c r="E50" i="52"/>
  <c r="I92" i="51"/>
  <c r="I104" i="51" s="1"/>
  <c r="K87" i="51"/>
  <c r="K85" i="51" s="1"/>
  <c r="J87" i="51"/>
  <c r="J85" i="51" s="1"/>
  <c r="I87" i="51"/>
  <c r="E87" i="51"/>
  <c r="E85" i="51" s="1"/>
  <c r="K84" i="51"/>
  <c r="K82" i="51" s="1"/>
  <c r="J84" i="51"/>
  <c r="J82" i="51" s="1"/>
  <c r="I84" i="51"/>
  <c r="E84" i="51"/>
  <c r="E82" i="51" s="1"/>
  <c r="K103" i="51"/>
  <c r="E103" i="51"/>
  <c r="K93" i="51"/>
  <c r="J93" i="51"/>
  <c r="I93" i="51"/>
  <c r="E65" i="51"/>
  <c r="K49" i="51"/>
  <c r="J49" i="51"/>
  <c r="K39" i="51"/>
  <c r="J39" i="51"/>
  <c r="I39" i="51"/>
  <c r="E39" i="51"/>
  <c r="K30" i="51"/>
  <c r="J30" i="51"/>
  <c r="I30" i="51"/>
  <c r="E30" i="51"/>
  <c r="K22" i="51"/>
  <c r="J22" i="51"/>
  <c r="I22" i="51"/>
  <c r="E22" i="51"/>
  <c r="E20" i="51"/>
  <c r="I85" i="51" l="1"/>
  <c r="I82" i="51"/>
  <c r="I14" i="51"/>
  <c r="I82" i="52"/>
  <c r="I93" i="52"/>
  <c r="E93" i="52"/>
  <c r="E144" i="54"/>
  <c r="E165" i="54"/>
  <c r="E171" i="54"/>
  <c r="E174" i="54"/>
  <c r="E177" i="54"/>
  <c r="E148" i="52"/>
  <c r="E16" i="52"/>
  <c r="I16" i="52"/>
  <c r="E104" i="52"/>
  <c r="I75" i="52"/>
  <c r="I104" i="52"/>
  <c r="E82" i="52"/>
  <c r="E75" i="52"/>
  <c r="J14" i="51"/>
  <c r="K14" i="51"/>
  <c r="E63" i="51"/>
  <c r="I89" i="51"/>
  <c r="E14" i="51"/>
  <c r="E16" i="34"/>
  <c r="Y8" i="34" s="1"/>
  <c r="J103" i="51"/>
  <c r="E180" i="52" l="1"/>
  <c r="K105" i="51"/>
  <c r="J105" i="51"/>
  <c r="I105" i="51"/>
  <c r="I16" i="34"/>
  <c r="I17" i="34"/>
  <c r="E45" i="48"/>
  <c r="E43" i="48"/>
  <c r="E41" i="48"/>
  <c r="I180" i="54"/>
  <c r="E115" i="54"/>
  <c r="E110" i="54"/>
  <c r="C98" i="54"/>
  <c r="C89" i="54"/>
  <c r="B89" i="54"/>
  <c r="E85" i="54"/>
  <c r="C85" i="54"/>
  <c r="B85" i="54"/>
  <c r="E83" i="54"/>
  <c r="C83" i="54"/>
  <c r="B83" i="54"/>
  <c r="E71" i="54"/>
  <c r="E62" i="54"/>
  <c r="E60" i="54"/>
  <c r="E52" i="54"/>
  <c r="E50" i="54"/>
  <c r="E48" i="54"/>
  <c r="E38" i="54"/>
  <c r="I33" i="54"/>
  <c r="E33" i="54"/>
  <c r="E29" i="54"/>
  <c r="I27" i="54"/>
  <c r="E27" i="54"/>
  <c r="E93" i="48"/>
  <c r="E13" i="34" s="1"/>
  <c r="V8" i="34" s="1"/>
  <c r="I84" i="48"/>
  <c r="I74" i="48"/>
  <c r="E74" i="48"/>
  <c r="E72" i="48" s="1"/>
  <c r="I71" i="48"/>
  <c r="E71" i="48"/>
  <c r="I69" i="48"/>
  <c r="E69" i="48"/>
  <c r="E66" i="48"/>
  <c r="I61" i="48"/>
  <c r="E61" i="48"/>
  <c r="I58" i="48"/>
  <c r="E58" i="48"/>
  <c r="I54" i="48"/>
  <c r="E54" i="48"/>
  <c r="E52" i="48"/>
  <c r="I50" i="48"/>
  <c r="E50" i="48"/>
  <c r="E19" i="48"/>
  <c r="I23" i="54" l="1"/>
  <c r="E17" i="34"/>
  <c r="Z8" i="34" s="1"/>
  <c r="I182" i="52"/>
  <c r="E17" i="48"/>
  <c r="I72" i="48"/>
  <c r="I93" i="48"/>
  <c r="E111" i="54"/>
  <c r="E81" i="54"/>
  <c r="E48" i="48"/>
  <c r="E59" i="48"/>
  <c r="I48" i="48"/>
  <c r="I59" i="48"/>
  <c r="E34" i="54"/>
  <c r="E63" i="54"/>
  <c r="E23" i="54"/>
  <c r="I13" i="34" l="1"/>
  <c r="I95" i="48"/>
  <c r="E45" i="46"/>
  <c r="E44" i="46"/>
  <c r="E41" i="46"/>
  <c r="E39" i="46"/>
  <c r="I19" i="34" l="1"/>
  <c r="E22" i="46"/>
  <c r="E43" i="46"/>
  <c r="E18" i="34"/>
  <c r="AA8" i="34" s="1"/>
  <c r="E291" i="45"/>
  <c r="E260" i="45"/>
  <c r="E252" i="45"/>
  <c r="E230" i="45"/>
  <c r="E223" i="45"/>
  <c r="E218" i="45"/>
  <c r="E216" i="45"/>
  <c r="E202" i="45"/>
  <c r="E181" i="45"/>
  <c r="E170" i="45"/>
  <c r="E166" i="45"/>
  <c r="E160" i="45"/>
  <c r="C260" i="45"/>
  <c r="E79" i="45"/>
  <c r="E94" i="45"/>
  <c r="E88" i="45"/>
  <c r="E77" i="45"/>
  <c r="E157" i="45"/>
  <c r="H157" i="45" s="1"/>
  <c r="E154" i="45"/>
  <c r="E148" i="45"/>
  <c r="E136" i="45"/>
  <c r="E130" i="45"/>
  <c r="E124" i="45"/>
  <c r="E118" i="45"/>
  <c r="E112" i="45"/>
  <c r="E106" i="45"/>
  <c r="E100" i="45"/>
  <c r="E76" i="45"/>
  <c r="E72" i="45"/>
  <c r="E68" i="45"/>
  <c r="E63" i="45"/>
  <c r="E54" i="45"/>
  <c r="E50" i="45"/>
  <c r="E48" i="45"/>
  <c r="E39" i="45"/>
  <c r="E41" i="45"/>
  <c r="E32" i="45"/>
  <c r="E27" i="45"/>
  <c r="E52" i="46" l="1"/>
  <c r="E57" i="45"/>
  <c r="E26" i="34"/>
  <c r="E285" i="45"/>
  <c r="E258" i="45"/>
  <c r="H258" i="45" s="1"/>
  <c r="E43" i="45"/>
  <c r="E34" i="45"/>
  <c r="E203" i="45"/>
  <c r="E52" i="45"/>
  <c r="E30" i="45"/>
  <c r="E17" i="45"/>
  <c r="E25" i="45"/>
  <c r="E286" i="45"/>
  <c r="E82" i="45"/>
  <c r="E11" i="34" l="1"/>
  <c r="T8" i="34" s="1"/>
  <c r="E24" i="34"/>
  <c r="E22" i="34"/>
  <c r="E158" i="45"/>
  <c r="E21" i="45"/>
  <c r="E290" i="45"/>
  <c r="B260" i="45"/>
  <c r="E25" i="34" l="1"/>
  <c r="E15" i="45"/>
  <c r="E284" i="45"/>
  <c r="E9" i="26"/>
  <c r="F9" i="26" s="1"/>
  <c r="C44" i="26"/>
  <c r="D44" i="26" s="1"/>
  <c r="E6" i="26"/>
  <c r="F6" i="26" s="1"/>
  <c r="C8" i="26"/>
  <c r="D8" i="26" s="1"/>
  <c r="E8" i="26"/>
  <c r="F8" i="26" s="1"/>
  <c r="C9" i="26"/>
  <c r="D9" i="26" s="1"/>
  <c r="C10" i="26"/>
  <c r="D10" i="26" s="1"/>
  <c r="E10" i="26"/>
  <c r="F10" i="26" s="1"/>
  <c r="C11" i="26"/>
  <c r="D11" i="26" s="1"/>
  <c r="E11" i="26"/>
  <c r="F11" i="26" s="1"/>
  <c r="C12" i="26"/>
  <c r="D12" i="26" s="1"/>
  <c r="C13" i="26"/>
  <c r="D13" i="26" s="1"/>
  <c r="E14" i="26"/>
  <c r="F14" i="26" s="1"/>
  <c r="C17" i="26"/>
  <c r="D17" i="26" s="1"/>
  <c r="E17" i="26"/>
  <c r="F17" i="26" s="1"/>
  <c r="C18" i="26"/>
  <c r="D18" i="26" s="1"/>
  <c r="E18" i="26"/>
  <c r="F18" i="26" s="1"/>
  <c r="C19" i="26"/>
  <c r="D19" i="26" s="1"/>
  <c r="E19" i="26"/>
  <c r="F19" i="26" s="1"/>
  <c r="E20" i="26"/>
  <c r="F20" i="26" s="1"/>
  <c r="C21" i="26"/>
  <c r="D21" i="26" s="1"/>
  <c r="E21" i="26"/>
  <c r="F21" i="26" s="1"/>
  <c r="C22" i="26"/>
  <c r="D22" i="26" s="1"/>
  <c r="E23" i="26"/>
  <c r="F23" i="26" s="1"/>
  <c r="E24" i="26"/>
  <c r="F24" i="26" s="1"/>
  <c r="C25" i="26"/>
  <c r="D25" i="26" s="1"/>
  <c r="E25" i="26"/>
  <c r="F25" i="26" s="1"/>
  <c r="C26" i="26"/>
  <c r="D26" i="26" s="1"/>
  <c r="E26" i="26"/>
  <c r="F26" i="26" s="1"/>
  <c r="C27" i="26"/>
  <c r="D27" i="26" s="1"/>
  <c r="E27" i="26"/>
  <c r="F27" i="26" s="1"/>
  <c r="D28" i="26"/>
  <c r="E28" i="26"/>
  <c r="F28" i="26" s="1"/>
  <c r="C29" i="26"/>
  <c r="D29" i="26" s="1"/>
  <c r="E29" i="26"/>
  <c r="F29" i="26" s="1"/>
  <c r="C30" i="26"/>
  <c r="D30" i="26" s="1"/>
  <c r="E30" i="26"/>
  <c r="F30" i="26" s="1"/>
  <c r="C31" i="26"/>
  <c r="D31" i="26" s="1"/>
  <c r="E31" i="26"/>
  <c r="F31" i="26" s="1"/>
  <c r="C32" i="26"/>
  <c r="D32" i="26" s="1"/>
  <c r="E32" i="26"/>
  <c r="F32" i="26" s="1"/>
  <c r="C33" i="26"/>
  <c r="D33" i="26" s="1"/>
  <c r="E33" i="26"/>
  <c r="F33" i="26" s="1"/>
  <c r="C34" i="26"/>
  <c r="D34" i="26" s="1"/>
  <c r="E34" i="26"/>
  <c r="F34" i="26" s="1"/>
  <c r="C35" i="26"/>
  <c r="D35" i="26" s="1"/>
  <c r="E35" i="26"/>
  <c r="F35" i="26" s="1"/>
  <c r="A38" i="26"/>
  <c r="A39" i="26"/>
  <c r="A40" i="26"/>
  <c r="A41" i="26"/>
  <c r="A42" i="26"/>
  <c r="A43" i="26"/>
  <c r="A44" i="26"/>
  <c r="A45" i="26"/>
  <c r="A46" i="26"/>
  <c r="A47" i="26"/>
  <c r="B54" i="26"/>
  <c r="C54" i="26"/>
  <c r="H54" i="26" s="1"/>
  <c r="B55" i="26"/>
  <c r="G55" i="26" s="1"/>
  <c r="C55" i="26"/>
  <c r="B56" i="26"/>
  <c r="G56" i="26" s="1"/>
  <c r="C56" i="26"/>
  <c r="H56" i="26" s="1"/>
  <c r="B57" i="26"/>
  <c r="C57" i="26"/>
  <c r="H57" i="26" s="1"/>
  <c r="B58" i="26"/>
  <c r="G58" i="26" s="1"/>
  <c r="C58" i="26"/>
  <c r="H58" i="26" s="1"/>
  <c r="F59" i="26"/>
  <c r="B61" i="26"/>
  <c r="G61" i="26" s="1"/>
  <c r="C61" i="26"/>
  <c r="H61" i="26" s="1"/>
  <c r="B62" i="26"/>
  <c r="C62" i="26"/>
  <c r="H62" i="26" s="1"/>
  <c r="B63" i="26"/>
  <c r="G63" i="26" s="1"/>
  <c r="C63" i="26"/>
  <c r="H63" i="26" s="1"/>
  <c r="B64" i="26"/>
  <c r="G64" i="26" s="1"/>
  <c r="C64" i="26"/>
  <c r="H64" i="26" s="1"/>
  <c r="B65" i="26"/>
  <c r="G65" i="26" s="1"/>
  <c r="C65" i="26"/>
  <c r="H65" i="26" s="1"/>
  <c r="F66" i="26"/>
  <c r="B68" i="26"/>
  <c r="B73" i="26" s="1"/>
  <c r="C68" i="26"/>
  <c r="B69" i="26"/>
  <c r="C69" i="26"/>
  <c r="H69" i="26" s="1"/>
  <c r="B70" i="26"/>
  <c r="G70" i="26" s="1"/>
  <c r="C70" i="26"/>
  <c r="B71" i="26"/>
  <c r="C71" i="26"/>
  <c r="B72" i="26"/>
  <c r="C72" i="26"/>
  <c r="F73" i="26"/>
  <c r="B76" i="26"/>
  <c r="G76" i="26" s="1"/>
  <c r="C76" i="26"/>
  <c r="H76" i="26" s="1"/>
  <c r="B79" i="26"/>
  <c r="C79" i="26"/>
  <c r="B80" i="26"/>
  <c r="C80" i="26"/>
  <c r="B84" i="26"/>
  <c r="C84" i="26"/>
  <c r="B85" i="26"/>
  <c r="C85" i="26"/>
  <c r="B91" i="26"/>
  <c r="C91" i="26"/>
  <c r="F91" i="26"/>
  <c r="B92" i="26"/>
  <c r="C92" i="26"/>
  <c r="F92" i="26"/>
  <c r="B93" i="26"/>
  <c r="C93" i="26"/>
  <c r="F93" i="26"/>
  <c r="B104" i="26"/>
  <c r="J58" i="24"/>
  <c r="K58" i="24"/>
  <c r="F65" i="24"/>
  <c r="G319" i="24"/>
  <c r="J319" i="24"/>
  <c r="K319" i="24"/>
  <c r="H322" i="24"/>
  <c r="F329" i="24"/>
  <c r="G329" i="24"/>
  <c r="H329" i="24"/>
  <c r="J329" i="24"/>
  <c r="K329" i="24"/>
  <c r="F330" i="24"/>
  <c r="G330" i="24"/>
  <c r="H330" i="24"/>
  <c r="G383" i="24"/>
  <c r="H383" i="24"/>
  <c r="I383" i="24"/>
  <c r="J383" i="24"/>
  <c r="K383" i="24"/>
  <c r="C20" i="26"/>
  <c r="D20" i="26" s="1"/>
  <c r="C24" i="26"/>
  <c r="D24" i="26" s="1"/>
  <c r="C23" i="26"/>
  <c r="D23" i="26" s="1"/>
  <c r="E20" i="34" l="1"/>
  <c r="E295" i="45"/>
  <c r="E45" i="26"/>
  <c r="E42" i="26"/>
  <c r="E46" i="26"/>
  <c r="G93" i="26"/>
  <c r="G92" i="26"/>
  <c r="H92" i="26"/>
  <c r="E12" i="26"/>
  <c r="F12" i="26" s="1"/>
  <c r="C45" i="26"/>
  <c r="D45" i="26" s="1"/>
  <c r="H91" i="26"/>
  <c r="G91" i="26"/>
  <c r="H93" i="26"/>
  <c r="E71" i="26"/>
  <c r="D54" i="26"/>
  <c r="E68" i="26"/>
  <c r="D56" i="26"/>
  <c r="E56" i="26"/>
  <c r="E54" i="26"/>
  <c r="E58" i="26"/>
  <c r="D71" i="26"/>
  <c r="G54" i="26"/>
  <c r="D68" i="26"/>
  <c r="D73" i="26" s="1"/>
  <c r="E61" i="26"/>
  <c r="D63" i="26"/>
  <c r="C73" i="26"/>
  <c r="E73" i="26" s="1"/>
  <c r="E63" i="26"/>
  <c r="E92" i="26"/>
  <c r="D92" i="26"/>
  <c r="B86" i="26"/>
  <c r="D85" i="26"/>
  <c r="E85" i="26"/>
  <c r="C86" i="26"/>
  <c r="E84" i="26"/>
  <c r="C43" i="26"/>
  <c r="D43" i="26" s="1"/>
  <c r="D84" i="26"/>
  <c r="C42" i="26"/>
  <c r="D42" i="26" s="1"/>
  <c r="C81" i="26"/>
  <c r="D79" i="26"/>
  <c r="E79" i="26"/>
  <c r="B81" i="26"/>
  <c r="E80" i="26"/>
  <c r="D80" i="26"/>
  <c r="D93" i="26"/>
  <c r="E93" i="26"/>
  <c r="D76" i="26"/>
  <c r="E76" i="26"/>
  <c r="C16" i="26"/>
  <c r="D16" i="26" s="1"/>
  <c r="E16" i="26"/>
  <c r="F16" i="26" s="1"/>
  <c r="E91" i="26"/>
  <c r="D91" i="26"/>
  <c r="D58" i="26"/>
  <c r="D61" i="26"/>
  <c r="E64" i="26"/>
  <c r="D64" i="26"/>
  <c r="C7" i="26"/>
  <c r="D7" i="26" s="1"/>
  <c r="D55" i="26"/>
  <c r="D57" i="26"/>
  <c r="G57" i="26"/>
  <c r="E57" i="26"/>
  <c r="G69" i="26"/>
  <c r="D69" i="26"/>
  <c r="E69" i="26"/>
  <c r="G62" i="26"/>
  <c r="E62" i="26"/>
  <c r="D62" i="26"/>
  <c r="B66" i="26"/>
  <c r="G66" i="26" s="1"/>
  <c r="D72" i="26"/>
  <c r="E72" i="26"/>
  <c r="H70" i="26"/>
  <c r="D70" i="26"/>
  <c r="E70" i="26"/>
  <c r="B59" i="26"/>
  <c r="G59" i="26" s="1"/>
  <c r="H55" i="26"/>
  <c r="E55" i="26"/>
  <c r="C59" i="26"/>
  <c r="E13" i="26"/>
  <c r="F13" i="26" s="1"/>
  <c r="E22" i="26"/>
  <c r="F22" i="26" s="1"/>
  <c r="E7" i="26"/>
  <c r="C66" i="26"/>
  <c r="H66" i="26" s="1"/>
  <c r="E65" i="26"/>
  <c r="D65" i="26"/>
  <c r="I297" i="45" l="1"/>
  <c r="E10" i="34"/>
  <c r="E30" i="34"/>
  <c r="I32" i="34" s="1"/>
  <c r="E40" i="26"/>
  <c r="C46" i="26"/>
  <c r="D46" i="26" s="1"/>
  <c r="C40" i="26"/>
  <c r="D40" i="26" s="1"/>
  <c r="C15" i="26"/>
  <c r="D15" i="26" s="1"/>
  <c r="D59" i="26"/>
  <c r="E15" i="26"/>
  <c r="F15" i="26" s="1"/>
  <c r="E86" i="26"/>
  <c r="D86" i="26"/>
  <c r="E43" i="26"/>
  <c r="E81" i="26"/>
  <c r="D81" i="26"/>
  <c r="D66" i="26"/>
  <c r="B88" i="26"/>
  <c r="C88" i="26"/>
  <c r="H59" i="26"/>
  <c r="E59" i="26"/>
  <c r="E66" i="26"/>
  <c r="E5" i="26"/>
  <c r="F5" i="26" s="1"/>
  <c r="F7" i="26"/>
  <c r="C6" i="26"/>
  <c r="E44" i="26"/>
  <c r="S8" i="34" l="1"/>
  <c r="E19" i="34"/>
  <c r="E88" i="26"/>
  <c r="D88" i="26"/>
  <c r="C38" i="26"/>
  <c r="D38" i="26" s="1"/>
  <c r="E36" i="26"/>
  <c r="F36" i="26" s="1"/>
  <c r="E39" i="26"/>
  <c r="C39" i="26"/>
  <c r="D39" i="26" s="1"/>
  <c r="D6" i="26"/>
  <c r="C5" i="26"/>
  <c r="C41" i="26"/>
  <c r="D41" i="26" s="1"/>
  <c r="E41" i="26"/>
  <c r="C47" i="26"/>
  <c r="D47" i="26" s="1"/>
  <c r="E47" i="26"/>
  <c r="E38" i="26" l="1"/>
  <c r="E48" i="26" s="1"/>
  <c r="D5" i="26"/>
  <c r="C36" i="26"/>
  <c r="D36" i="26" s="1"/>
  <c r="D48" i="26"/>
  <c r="C48" i="26"/>
  <c r="F45" i="26" l="1"/>
  <c r="F46" i="26"/>
  <c r="F39" i="26"/>
  <c r="F40" i="26"/>
  <c r="F42" i="26"/>
  <c r="F43" i="26"/>
  <c r="F38" i="26"/>
  <c r="F44" i="26"/>
  <c r="F41" i="26"/>
  <c r="F47" i="26"/>
  <c r="F48" i="26" l="1"/>
  <c r="E296" i="45"/>
  <c r="E31" i="34" s="1"/>
  <c r="E219" i="45"/>
  <c r="I219" i="45"/>
  <c r="I31" i="3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Tatjana</author>
    <author/>
  </authors>
  <commentList>
    <comment ref="G46" authorId="0" shapeId="0" xr:uid="{00000000-0006-0000-1A00-000001000000}">
      <text>
        <r>
          <rPr>
            <b/>
            <sz val="9"/>
            <color indexed="81"/>
            <rFont val="Tahoma"/>
            <family val="2"/>
            <charset val="186"/>
          </rPr>
          <t>Tatjana:</t>
        </r>
        <r>
          <rPr>
            <sz val="9"/>
            <color indexed="81"/>
            <rFont val="Tahoma"/>
            <family val="2"/>
            <charset val="186"/>
          </rPr>
          <t xml:space="preserve">
šv. Sk - eilių reg. Sist.</t>
        </r>
      </text>
    </comment>
    <comment ref="G50" authorId="0" shapeId="0" xr:uid="{00000000-0006-0000-1A00-000002000000}">
      <text>
        <r>
          <rPr>
            <b/>
            <sz val="9"/>
            <color indexed="81"/>
            <rFont val="Tahoma"/>
            <family val="2"/>
            <charset val="186"/>
          </rPr>
          <t>Tatjana:</t>
        </r>
        <r>
          <rPr>
            <sz val="9"/>
            <color indexed="81"/>
            <rFont val="Tahoma"/>
            <family val="2"/>
            <charset val="186"/>
          </rPr>
          <t xml:space="preserve">
veiklos atask (2), planai (0:SVP-2014, SPP - atskirai); vertinimo at. (2)</t>
        </r>
      </text>
    </comment>
    <comment ref="G56" authorId="0" shapeId="0" xr:uid="{00000000-0006-0000-1A00-000003000000}">
      <text>
        <r>
          <rPr>
            <b/>
            <sz val="9"/>
            <color indexed="81"/>
            <rFont val="Tahoma"/>
            <family val="2"/>
            <charset val="186"/>
          </rPr>
          <t>Tatjana:</t>
        </r>
        <r>
          <rPr>
            <sz val="9"/>
            <color indexed="81"/>
            <rFont val="Tahoma"/>
            <family val="2"/>
            <charset val="186"/>
          </rPr>
          <t xml:space="preserve">
savivaldybės žinios, v každyj dom, kas yra kas Lietuvoje, telefono knyga, veidas ir kt.</t>
        </r>
      </text>
    </comment>
    <comment ref="G57" authorId="0" shapeId="0" xr:uid="{00000000-0006-0000-1A00-000004000000}">
      <text>
        <r>
          <rPr>
            <b/>
            <sz val="9"/>
            <color indexed="81"/>
            <rFont val="Tahoma"/>
            <family val="2"/>
            <charset val="186"/>
          </rPr>
          <t>Tatjana:</t>
        </r>
        <r>
          <rPr>
            <sz val="9"/>
            <color indexed="81"/>
            <rFont val="Tahoma"/>
            <family val="2"/>
            <charset val="186"/>
          </rPr>
          <t xml:space="preserve">
transteleservis, sugardas, Aukštaitijos gidas</t>
        </r>
      </text>
    </comment>
    <comment ref="A275" authorId="0" shapeId="0" xr:uid="{00000000-0006-0000-1A00-000005000000}">
      <text>
        <r>
          <rPr>
            <b/>
            <sz val="9"/>
            <color indexed="81"/>
            <rFont val="Tahoma"/>
            <family val="2"/>
            <charset val="186"/>
          </rPr>
          <t>Tatjana:</t>
        </r>
        <r>
          <rPr>
            <sz val="9"/>
            <color indexed="81"/>
            <rFont val="Tahoma"/>
            <family val="2"/>
            <charset val="186"/>
          </rPr>
          <t xml:space="preserve">
pagal 8 ir 10 pr.</t>
        </r>
      </text>
    </comment>
    <comment ref="F275" authorId="0" shapeId="0" xr:uid="{00000000-0006-0000-1A00-000006000000}">
      <text>
        <r>
          <rPr>
            <b/>
            <sz val="9"/>
            <color indexed="81"/>
            <rFont val="Tahoma"/>
            <family val="2"/>
            <charset val="186"/>
          </rPr>
          <t>8 pr. - 1; 10 pr. - 16</t>
        </r>
        <r>
          <rPr>
            <sz val="9"/>
            <color indexed="81"/>
            <rFont val="Tahoma"/>
            <family val="2"/>
            <charset val="186"/>
          </rPr>
          <t xml:space="preserve">
</t>
        </r>
      </text>
    </comment>
    <comment ref="G275" authorId="0" shapeId="0" xr:uid="{00000000-0006-0000-1A00-000007000000}">
      <text>
        <r>
          <rPr>
            <b/>
            <sz val="9"/>
            <color indexed="81"/>
            <rFont val="Tahoma"/>
            <family val="2"/>
            <charset val="186"/>
          </rPr>
          <t>Tatjana:</t>
        </r>
        <r>
          <rPr>
            <sz val="9"/>
            <color indexed="81"/>
            <rFont val="Tahoma"/>
            <family val="2"/>
            <charset val="186"/>
          </rPr>
          <t xml:space="preserve">
8 pr. - 1; 10 pr. - 13</t>
        </r>
      </text>
    </comment>
    <comment ref="F309" authorId="0" shapeId="0" xr:uid="{00000000-0006-0000-1A00-000008000000}">
      <text>
        <r>
          <rPr>
            <b/>
            <sz val="9"/>
            <color indexed="81"/>
            <rFont val="Tahoma"/>
            <family val="2"/>
            <charset val="186"/>
          </rPr>
          <t>Statybininkų, Taikos/Draugystės, iš KD</t>
        </r>
      </text>
    </comment>
    <comment ref="A315" authorId="1" shapeId="0" xr:uid="{00000000-0006-0000-1A00-000009000000}">
      <text>
        <r>
          <rPr>
            <sz val="10"/>
            <rFont val="Arial"/>
            <family val="2"/>
            <charset val="186"/>
          </rPr>
          <t>Rekreacijos paslaugų centras</t>
        </r>
      </text>
    </comment>
    <comment ref="G321" authorId="0" shapeId="0" xr:uid="{00000000-0006-0000-1A00-00000A000000}">
      <text>
        <r>
          <rPr>
            <b/>
            <sz val="9"/>
            <color indexed="81"/>
            <rFont val="Tahoma"/>
            <family val="2"/>
            <charset val="186"/>
          </rPr>
          <t>Tatjana:</t>
        </r>
        <r>
          <rPr>
            <sz val="9"/>
            <color indexed="81"/>
            <rFont val="Tahoma"/>
            <family val="2"/>
            <charset val="186"/>
          </rPr>
          <t xml:space="preserve">
prie G.V (1600), prie Parko g. 21 (1350), prie Santarvės a. (200)</t>
        </r>
      </text>
    </comment>
    <comment ref="A328" authorId="0" shapeId="0" xr:uid="{00000000-0006-0000-1A00-00000B000000}">
      <text>
        <r>
          <rPr>
            <b/>
            <sz val="9"/>
            <color indexed="81"/>
            <rFont val="Tahoma"/>
            <family val="2"/>
            <charset val="186"/>
          </rPr>
          <t>Tatjana:</t>
        </r>
        <r>
          <rPr>
            <sz val="9"/>
            <color indexed="81"/>
            <rFont val="Tahoma"/>
            <family val="2"/>
            <charset val="186"/>
          </rPr>
          <t xml:space="preserve">
visi pg 2 tikslą</t>
        </r>
      </text>
    </comment>
    <comment ref="H328" authorId="0" shapeId="0" xr:uid="{00000000-0006-0000-1A00-00000C000000}">
      <text>
        <r>
          <rPr>
            <b/>
            <sz val="9"/>
            <color indexed="81"/>
            <rFont val="Tahoma"/>
            <family val="2"/>
            <charset val="186"/>
          </rPr>
          <t>Tatjana:</t>
        </r>
        <r>
          <rPr>
            <sz val="9"/>
            <color indexed="81"/>
            <rFont val="Tahoma"/>
            <family val="2"/>
            <charset val="186"/>
          </rPr>
          <t xml:space="preserve">
šild. Sist., IV et, 4 VIP, Kult. C., Enervizija</t>
        </r>
      </text>
    </comment>
    <comment ref="H344" authorId="0" shapeId="0" xr:uid="{00000000-0006-0000-1A00-00000D000000}">
      <text>
        <r>
          <rPr>
            <b/>
            <sz val="9"/>
            <color indexed="81"/>
            <rFont val="Tahoma"/>
            <family val="2"/>
            <charset val="186"/>
          </rPr>
          <t>Tatjana:</t>
        </r>
        <r>
          <rPr>
            <sz val="9"/>
            <color indexed="81"/>
            <rFont val="Tahoma"/>
            <family val="2"/>
            <charset val="186"/>
          </rPr>
          <t xml:space="preserve">
1 ligoninė, 3 mokyklos, 1 menų m.</t>
        </r>
      </text>
    </comment>
    <comment ref="F386" authorId="0" shapeId="0" xr:uid="{00000000-0006-0000-1A00-00000E000000}">
      <text>
        <r>
          <rPr>
            <sz val="9"/>
            <color indexed="81"/>
            <rFont val="Tahoma"/>
            <family val="2"/>
            <charset val="186"/>
          </rPr>
          <t>VšĮ(IAE regiono verslo inkubatorius, Euroregiono Ežerų kraštas derektorrato biuras, IAE regiono plėtros agentūra)</t>
        </r>
      </text>
    </comment>
    <comment ref="F405" authorId="0" shapeId="0" xr:uid="{00000000-0006-0000-1A00-00000F000000}">
      <text>
        <r>
          <rPr>
            <b/>
            <sz val="9"/>
            <color indexed="81"/>
            <rFont val="Tahoma"/>
            <family val="2"/>
            <charset val="186"/>
          </rPr>
          <t>Tatjana:</t>
        </r>
        <r>
          <rPr>
            <sz val="9"/>
            <color indexed="81"/>
            <rFont val="Tahoma"/>
            <family val="2"/>
            <charset val="186"/>
          </rPr>
          <t xml:space="preserve">
2 inv. Projektai ir 4 auditai</t>
        </r>
      </text>
    </comment>
    <comment ref="H405" authorId="0" shapeId="0" xr:uid="{00000000-0006-0000-1A00-000010000000}">
      <text>
        <r>
          <rPr>
            <b/>
            <sz val="9"/>
            <color indexed="81"/>
            <rFont val="Tahoma"/>
            <family val="2"/>
            <charset val="186"/>
          </rPr>
          <t>Tatjana:</t>
        </r>
        <r>
          <rPr>
            <sz val="9"/>
            <color indexed="81"/>
            <rFont val="Tahoma"/>
            <family val="2"/>
            <charset val="186"/>
          </rPr>
          <t xml:space="preserve">
SMART PARKO plėtros planas, darnaus judumo planas, 6 IP pagal priemones</t>
        </r>
      </text>
    </comment>
    <comment ref="H412" authorId="0" shapeId="0" xr:uid="{00000000-0006-0000-1A00-000011000000}">
      <text>
        <r>
          <rPr>
            <b/>
            <sz val="9"/>
            <color indexed="81"/>
            <rFont val="Tahoma"/>
            <family val="2"/>
            <charset val="186"/>
          </rPr>
          <t>Tatjana:</t>
        </r>
        <r>
          <rPr>
            <sz val="9"/>
            <color indexed="81"/>
            <rFont val="Tahoma"/>
            <family val="2"/>
            <charset val="186"/>
          </rPr>
          <t xml:space="preserve">
rangos ir TP sut.</t>
        </r>
      </text>
    </comment>
    <comment ref="J422" authorId="0" shapeId="0" xr:uid="{00000000-0006-0000-1A00-000012000000}">
      <text>
        <r>
          <rPr>
            <b/>
            <sz val="9"/>
            <color indexed="81"/>
            <rFont val="Tahoma"/>
            <family val="2"/>
            <charset val="186"/>
          </rPr>
          <t>Tatjana:</t>
        </r>
        <r>
          <rPr>
            <sz val="9"/>
            <color indexed="81"/>
            <rFont val="Tahoma"/>
            <family val="2"/>
            <charset val="186"/>
          </rPr>
          <t xml:space="preserve">
irklavimo bazė</t>
        </r>
      </text>
    </comment>
    <comment ref="K422" authorId="0" shapeId="0" xr:uid="{00000000-0006-0000-1A00-000013000000}">
      <text>
        <r>
          <rPr>
            <b/>
            <sz val="9"/>
            <color indexed="81"/>
            <rFont val="Tahoma"/>
            <family val="2"/>
            <charset val="186"/>
          </rPr>
          <t>Tatjana:</t>
        </r>
        <r>
          <rPr>
            <sz val="9"/>
            <color indexed="81"/>
            <rFont val="Tahoma"/>
            <family val="2"/>
            <charset val="186"/>
          </rPr>
          <t xml:space="preserve">
irklavimo bazė</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<sst xmlns="http://schemas.openxmlformats.org/spreadsheetml/2006/main" count="8396" uniqueCount="3829">
  <si>
    <t>P-05-01-01-02</t>
  </si>
  <si>
    <t>P-10-03-02-02</t>
  </si>
  <si>
    <t>Transporto lengvatomis pasinaudotų keleivių skaičius</t>
  </si>
  <si>
    <t>P-10-01-01-01</t>
  </si>
  <si>
    <t>žm. skaičius</t>
  </si>
  <si>
    <t>70 000</t>
  </si>
  <si>
    <t>30</t>
  </si>
  <si>
    <t>Vykdomų sveikatinimo programų skaičius</t>
  </si>
  <si>
    <t>P-07-01-01-01</t>
  </si>
  <si>
    <t>01.02. Uždavinys. Remti sveikatos priežiūros paslaugų teikimą nustatytų kategorijų žmonėms</t>
  </si>
  <si>
    <t>Atliktų irklavimo bazės įrengimo Visagino ežero pakrantėje darbų procentas</t>
  </si>
  <si>
    <t>20</t>
  </si>
  <si>
    <t>Miestų partnerių skaičius</t>
  </si>
  <si>
    <t>P-01-02-04-01</t>
  </si>
  <si>
    <t>P-07-01-01-02</t>
  </si>
  <si>
    <t>P-07-01-01-03</t>
  </si>
  <si>
    <t>Įsteigtų Nuolatinių komisijų neįgaliųjų klausimams spręsti skaičius</t>
  </si>
  <si>
    <t>P-07-01-01-05</t>
  </si>
  <si>
    <t>P-07-01-01-06</t>
  </si>
  <si>
    <t>Priimtų tarybos sprendimų ribojančių alkoholio vartojimą masinių renginių metu skaičius</t>
  </si>
  <si>
    <t>P-07-01-01-07</t>
  </si>
  <si>
    <t>04 Visagino savivaldybės gyventojų kultūrinio aktyvumo skatinimo ir identiteto stiprinimo programa</t>
  </si>
  <si>
    <t>P-01-01-05-02</t>
  </si>
  <si>
    <t>Mokymuose korupcijos prevencijos srityje dalyvaujančių asmenų skaičius</t>
  </si>
  <si>
    <t>asmenų skaičius</t>
  </si>
  <si>
    <t>Asmenų skaičius, dalyvaujančių darbo saugos mokymose</t>
  </si>
  <si>
    <t>P-07-01-03-02</t>
  </si>
  <si>
    <t>P-07-01-03-03</t>
  </si>
  <si>
    <t>* interneto svetainių, kuriuose skelbiama informacija apie savivaldybės veiklą, skaičius</t>
  </si>
  <si>
    <t xml:space="preserve">Išvalytas pagrindinis kolektorius (III mkr.) </t>
  </si>
  <si>
    <t>Vaikų teisių pažeidimų prevencijos įgyvendinimo priemonių skaičius</t>
  </si>
  <si>
    <t>P-06-02-01-02</t>
  </si>
  <si>
    <t>P-03-01-02-01</t>
  </si>
  <si>
    <t>Įvykdytų programos priemonių santykis nuo visų planuotų vykdyti</t>
  </si>
  <si>
    <t>P-01-01-05-01</t>
  </si>
  <si>
    <t xml:space="preserve">proc. </t>
  </si>
  <si>
    <t>R-08-01-01</t>
  </si>
  <si>
    <t>Įrengtų liftų skaičius</t>
  </si>
  <si>
    <t>02 strateginis tikslas. Gerinti socialinę aplinką teikiant kokybiškas paslaugas</t>
  </si>
  <si>
    <t>Miesto vaizdo stebėjimo kamerų tinklo funkcionavimo užtikrinimas</t>
  </si>
  <si>
    <t>P-10-02-03-02</t>
  </si>
  <si>
    <t>P-10-02-04-03</t>
  </si>
  <si>
    <t>Įrengtų lauko vasaros estradų skaičius</t>
  </si>
  <si>
    <t>Parengtų (pakoreguotų) daugiabučių namų investicijų planų skaičius</t>
  </si>
  <si>
    <t>Parengtų daugiabučių namų energinio naudingumo sertifikatų skaičius</t>
  </si>
  <si>
    <t>Įrengtų paviršinio vandens nuotekų valymo įrenginių skaičius</t>
  </si>
  <si>
    <t>P-08-01-01-06</t>
  </si>
  <si>
    <t>01.02. Uždavinys. Gerinti tiekiamo geriamojo vandens kokybę ir nuotekų surinkimą bei valymą</t>
  </si>
  <si>
    <t>P-08-01-02-01</t>
  </si>
  <si>
    <t>km</t>
  </si>
  <si>
    <t>P-10-02-01-05</t>
  </si>
  <si>
    <t>Jaunimo savarankiškos veiklos skatinimo srityje organizuotų akcijų ir renginių skaičius</t>
  </si>
  <si>
    <t>P-05-02-01-04</t>
  </si>
  <si>
    <t>06 Visagino savivaldybės socialinės paramos įgyvendinimo programa</t>
  </si>
  <si>
    <t>01 tikslas. Teikti socialinę (finansinę) paramą Visagino savivaldybės gyventojams bei skatinti socialinių paslaugų plėtrą bendruomenėje</t>
  </si>
  <si>
    <t>Suteiktos paramos dalis</t>
  </si>
  <si>
    <t>R-06-01-01</t>
  </si>
  <si>
    <t>Įdiegtų priemonių, skirtų paslaugų ir (ar) aptarnavimo kokybei gerinti, skaičius</t>
  </si>
  <si>
    <t>R-04-02-02</t>
  </si>
  <si>
    <t>Visagino miesto centralizuoto šildymo sistema pertvarkyta į uždarą</t>
  </si>
  <si>
    <t>R-10-02-05</t>
  </si>
  <si>
    <t>P-09-02-01-02</t>
  </si>
  <si>
    <t>* informacinių leidinių, kuriuose skelbiama informacija apie savivaldybės veiklą, skaičius</t>
  </si>
  <si>
    <t>01.03. Uždavinys. Vykdyti triukšmo prevenciją</t>
  </si>
  <si>
    <t>P-08-01-03-01</t>
  </si>
  <si>
    <t xml:space="preserve">taip </t>
  </si>
  <si>
    <t xml:space="preserve">SB </t>
  </si>
  <si>
    <t>Visagino miesto kelių ženklinimas (KD)</t>
  </si>
  <si>
    <t>Visagino miesto kelių duobių remontas (KD)</t>
  </si>
  <si>
    <t>Paviršinių nuotekų nuotakyno priežiūra ir einamasis remontas</t>
  </si>
  <si>
    <t>Parengtų paviršinio (lietaus) vandens nuotekų valymo įrenginių darbo projektų skaičius</t>
  </si>
  <si>
    <t>Įsisavintos Valstybės investicijų programos vykdomų projektų lėšos (10 programoje)</t>
  </si>
  <si>
    <t>01.03. Uždavinys. Užtikrinti efektyvų savivaldybei nuosavybės teise priklausančio nekilnojamojo turto naudojimą, įmonių bei įstaigų valdymą</t>
  </si>
  <si>
    <t>P-01-01-03-01</t>
  </si>
  <si>
    <t>Privatizuotų objektų skaičius</t>
  </si>
  <si>
    <t>Kelių priežiūros ir plėtros programos lėšų panaudojimas</t>
  </si>
  <si>
    <t>- pagal  pagrindinio ugdymo programą</t>
  </si>
  <si>
    <t>R-02-01-04</t>
  </si>
  <si>
    <t>03.02. Uždavinys. Vykdyti kapinių priežiūros darbus</t>
  </si>
  <si>
    <t>P-09-03-02-04</t>
  </si>
  <si>
    <t>Įrengtų informacinių lauko stendų skaičius</t>
  </si>
  <si>
    <t>Nusikalstamumo lygis (100 000 gyventojų tenka užregistruotų nusikalstamų veikų)</t>
  </si>
  <si>
    <t>E-02-05</t>
  </si>
  <si>
    <t>mažiau nei 2000</t>
  </si>
  <si>
    <t>mažiau nei 1900</t>
  </si>
  <si>
    <t>P-10-01-01-07</t>
  </si>
  <si>
    <t>Paremtų vietos iniciatyvų projektų skaičius</t>
  </si>
  <si>
    <t>Kapinių kvartalų paruošimas laidojimams</t>
  </si>
  <si>
    <t>Įrengtų naujų kapinių skaičius</t>
  </si>
  <si>
    <t>Paruoštų kvartalų laidojimui</t>
  </si>
  <si>
    <t>P-10-03-02-04</t>
  </si>
  <si>
    <t>Naujai įrengti nuotekų tinklai</t>
  </si>
  <si>
    <r>
      <t>2015 m. patvirtintas planas (savivaldybės</t>
    </r>
    <r>
      <rPr>
        <b/>
        <sz val="12"/>
        <color indexed="10"/>
        <rFont val="Times Bold Italic"/>
        <family val="1"/>
      </rPr>
      <t xml:space="preserve"> biudžeto lėšos savarankiškoms funkcijoms vykdyti</t>
    </r>
    <r>
      <rPr>
        <b/>
        <sz val="12"/>
        <rFont val="Times Bold Italic"/>
        <family val="1"/>
      </rPr>
      <t>)</t>
    </r>
  </si>
  <si>
    <t>PASKOLA</t>
  </si>
  <si>
    <t>Kultūrinių renginių ir Visagino miesto šventės organizavimas</t>
  </si>
  <si>
    <t>Paviršinių nuotekų nuotakyno sistemos tvarkymo ir remonto priemonės</t>
  </si>
  <si>
    <t>Parengtų investicinių projektų ir kitų būtinų dokumentų projektų finansavimui gauti</t>
  </si>
  <si>
    <t>P-04-01-01-03</t>
  </si>
  <si>
    <t>R-02-02-01</t>
  </si>
  <si>
    <t>P-02-02-01-01</t>
  </si>
  <si>
    <t>Įrengtų paviršinio vandens nuotekų apskaitos prietaisų skaičius</t>
  </si>
  <si>
    <t>Aliktų aplinkos oro kokybės tyrimų skaičius</t>
  </si>
  <si>
    <t>P-08-01-01-07</t>
  </si>
  <si>
    <t>P-08-01-01-08</t>
  </si>
  <si>
    <t>P-08-01-02-03</t>
  </si>
  <si>
    <t>P-05-03-01-02</t>
  </si>
  <si>
    <t>Savivaldybės nekilnojamojo turto išlaikymas</t>
  </si>
  <si>
    <t>mokyklos</t>
  </si>
  <si>
    <t>darželiai</t>
  </si>
  <si>
    <t>neform. ugd.</t>
  </si>
  <si>
    <t>Ugdymo proceso užtikrinimas</t>
  </si>
  <si>
    <t>Valstybės dotacijų, skirtų vykdyti valstybinėms (perduotoms savivaldybėms) funkcijoms, panaudojimas, proc.</t>
  </si>
  <si>
    <t>R-01-01-03</t>
  </si>
  <si>
    <t>PRODUKTO:</t>
  </si>
  <si>
    <t>01.01. Uždavinys. Organizuoti savivaldybės funkcijų įgyvendinimą</t>
  </si>
  <si>
    <t>P-09-01-01-04</t>
  </si>
  <si>
    <t>P-09-01-01-05</t>
  </si>
  <si>
    <t>val.</t>
  </si>
  <si>
    <t>Socialinės pašalpos gavėjų skaičius nuo gyventojų skaičiaus</t>
  </si>
  <si>
    <t>E-02-06</t>
  </si>
  <si>
    <t>Atliktų vidaus auditų skaičius</t>
  </si>
  <si>
    <t>05 Visagino savivaldybės bendruomeniškumo skatinimo programa</t>
  </si>
  <si>
    <t>Šiuolaikinių informacinių technologijų diegimas</t>
  </si>
  <si>
    <t>Reguliaraus susisiekimo autobusų maršrutais nuvažiuotas atstumas</t>
  </si>
  <si>
    <t>P-10-01-01-02</t>
  </si>
  <si>
    <t>Paskolų grąžinimas ir palūkanų mokėjimas</t>
  </si>
  <si>
    <t>Savivaldybės finansinių įsipareigojimų vykdymas (paskolų grąžinimas ir palūkanų mokėjimas)</t>
  </si>
  <si>
    <t xml:space="preserve">   </t>
  </si>
  <si>
    <t>P-04-02-01-03</t>
  </si>
  <si>
    <t>Dalyvauta respublikiniuose ir tarptautiniuose renginiuose</t>
  </si>
  <si>
    <t>P-04-02-02-01</t>
  </si>
  <si>
    <t>P-04-02-02-02</t>
  </si>
  <si>
    <t>P-04-02-02-03</t>
  </si>
  <si>
    <t>P-04-02-02-04</t>
  </si>
  <si>
    <t>P-04-02-02-05</t>
  </si>
  <si>
    <t>Vykdomų formaliojo ir neformaliojo ugdymo programų skaičius savivaldybėje</t>
  </si>
  <si>
    <t>Neformaliojo švietimo programų teikėjų, registruotų ŠMIR, skaičius savivaldybėje</t>
  </si>
  <si>
    <t>R-02-01-05</t>
  </si>
  <si>
    <t>Suaugusiųjų bendrojo ugdymo klasėse besimokančiųjų skaičius</t>
  </si>
  <si>
    <t>Mokinių, besiugdančių neformaliojo ugdymo įstaigose ir kitose NVŠ programose, skaičius (pagal sutartis)</t>
  </si>
  <si>
    <t>Parengtas darnaus judumo Visagino mieste planas</t>
  </si>
  <si>
    <t>R-10-02-07</t>
  </si>
  <si>
    <t>0.50</t>
  </si>
  <si>
    <t>ha.</t>
  </si>
  <si>
    <t>Regeneruotos teritorijos plotas („Apleistų teritorijų konversija, regeneruojant buvusį karinį miestelį ir pritaikant kompleksą inovatyviai pramonei vystyti – SMART PARK įkūrimui“)</t>
  </si>
  <si>
    <t>2016 m. planas</t>
  </si>
  <si>
    <t>Finansuotų įstaigų skaičius</t>
  </si>
  <si>
    <t>03.01. Uždavinys. Tvarkyti gyvenamąją aplinką, administruoti gatvių apšvietimo paslaugas</t>
  </si>
  <si>
    <t>Vaikų, besiugdančių pagal priešmokyklinio ugdymo programas, skaičius</t>
  </si>
  <si>
    <t>07 Visagino savivaldybės sveikatos apsaugos paslaugų kokybės gerinimo programa</t>
  </si>
  <si>
    <t>11 % ir/ar mažiau nei Lietuvos lygis</t>
  </si>
  <si>
    <t>Visagino miesto centralizuotos šildymo sistemos modernizavimas ir atnaujinimas, II etapas</t>
  </si>
  <si>
    <t>Apleistų teritorijų konversija, regeneruojant buvusį karinį miestelį ir pritaikant kompleksą inovatyviai pramonei vystyti - SMART PARK įkūrimui</t>
  </si>
  <si>
    <t xml:space="preserve">Bendrakomandinė prizinė vieta tarp savivaldybių </t>
  </si>
  <si>
    <t>P-03-01-02-05</t>
  </si>
  <si>
    <t>vieta</t>
  </si>
  <si>
    <t>Organizuotų renginių neįgaliems skaičius</t>
  </si>
  <si>
    <t>P-03-01-02-06</t>
  </si>
  <si>
    <t>Įgyvendintų priemonių aplinkos apsaugos programoje dalis</t>
  </si>
  <si>
    <t>E-03-02</t>
  </si>
  <si>
    <t>Atnaujintų viešųjų pastatų skaičius</t>
  </si>
  <si>
    <t>P-10-02-01-04</t>
  </si>
  <si>
    <t>P-07-01-02-01</t>
  </si>
  <si>
    <t>03.04. Uždavinys. Sudaryti infrastruktūros sąlygas rekreacinei žvejybai plėtoti</t>
  </si>
  <si>
    <t>P-10-03-03-01</t>
  </si>
  <si>
    <t>P-10-03-04-01</t>
  </si>
  <si>
    <t>Renovuotų daugiabučių namų dalis nuo bendro daugiabučių namų skaičiaus</t>
  </si>
  <si>
    <t>R-10-02-03</t>
  </si>
  <si>
    <t>02.01. Uždavinys.  Vykdyti Visagino regioninio centro kompleksinės plėtros 2008-2013 m. investicinę programą</t>
  </si>
  <si>
    <t>02 tikslas. Plėtoti vaikų ir jaunimo socializacijos galimybes</t>
  </si>
  <si>
    <t>02 tikslas. Sudaryti sąlygas efektyvesnei, profesionalesnei savivaldybės administracijos darbo veiklai, optimizuoti savivaldybės administracijos darbą, laikantis viešumo ir skaidrumo principų</t>
  </si>
  <si>
    <t>P-02-01-01-02</t>
  </si>
  <si>
    <t>Aplinkos apsaugos rėmimo specialiosios programos priemonių įgyvendinimas lyginant su planuotomis</t>
  </si>
  <si>
    <t>-</t>
  </si>
  <si>
    <t>Pakeistų Visagino miesto apšvietimo tinklų netinkamų eksploatuoti linijų kiekis</t>
  </si>
  <si>
    <t>Mato vnt.</t>
  </si>
  <si>
    <t>2013 m. planas</t>
  </si>
  <si>
    <t>2015 m. planas</t>
  </si>
  <si>
    <t>Dainų šventėje dalyvavusių miesto kolektyvų skaičius</t>
  </si>
  <si>
    <t>P-04-02-01-04</t>
  </si>
  <si>
    <t>P-04-02-01-05</t>
  </si>
  <si>
    <t>Bendruomenės iniciatyvų, įgyvendintų su administracijos pagalba, skaičius</t>
  </si>
  <si>
    <t>Tautinių mažumų bendrijų renginiai Visagine ir reprezentacija išvykose Lietuvoje</t>
  </si>
  <si>
    <t>Tautinių mažumų bendrijų renginių skaičius užsienyje ir etninėse tėvynėse</t>
  </si>
  <si>
    <t>01.04. Uždavinys. Sudaryti sąlygas tinkamai prižiūrėti gyvūnus</t>
  </si>
  <si>
    <t>P-08-01-04-01</t>
  </si>
  <si>
    <t>Sugautų beglobių gyvūnų skaičius</t>
  </si>
  <si>
    <t>P-02-01-01-04</t>
  </si>
  <si>
    <t>Mokinių, besiugdančių pagal pradinio ugdymo programas, skaičius</t>
  </si>
  <si>
    <t>P-02-01-01-03</t>
  </si>
  <si>
    <t>Mokinių, besiugdančių pagal pagrindinio ugdymo programas, skaičius</t>
  </si>
  <si>
    <t>Gavusių paramą vietos iniciatyvų projektams įgyvendinti dalis nuo visų besikreipiančių paramos, procentas</t>
  </si>
  <si>
    <t>Gyvenamosios vietovės bendruomenės išrinktų seniūnaičių skaičius, jų darbo užtikrinimas</t>
  </si>
  <si>
    <t>Mokinių iki 18 metų pateikusių profilaktinio sveikatos patikrinimo pažymą skaičius</t>
  </si>
  <si>
    <t>Suteiktų konsultacijų mokiniams ir mokytojams skaičius</t>
  </si>
  <si>
    <t>Ugdymo įstaigose organizuotų sveikatinimo renginių skaičius</t>
  </si>
  <si>
    <t>P-07-01-02-03</t>
  </si>
  <si>
    <t>P-07-01-02-04</t>
  </si>
  <si>
    <t>P-07-01-02-05</t>
  </si>
  <si>
    <t>R-06-01-03</t>
  </si>
  <si>
    <t>Rizikos šeimos vaikų, gaunančių socialines paslaugas, skaičius</t>
  </si>
  <si>
    <t>P-10-02-04-02</t>
  </si>
  <si>
    <t>Valstybinės žemės ir kito valstybinio turto valdymas, naudojimas ir disponavimas juo patikėjimo teise</t>
  </si>
  <si>
    <t>03.03. Uždavinys. Tvarkyti savivaldybės kaimiškųjų vietovių infrastruktūrą</t>
  </si>
  <si>
    <t>P-04-02-01-01</t>
  </si>
  <si>
    <t>50</t>
  </si>
  <si>
    <t>Pėsčiųjų perėjų, kuriose įrengtas ženklinnimas ir apšvietimas, skaičius</t>
  </si>
  <si>
    <t>P-06-01-03-05</t>
  </si>
  <si>
    <t>14</t>
  </si>
  <si>
    <t>15</t>
  </si>
  <si>
    <t xml:space="preserve"> programas, teikti pedagoginę, psichologinę, metodinę, aprūpinimo transportu ir kitą pagalbą mokiniams, mokytojams ir mokykloms</t>
  </si>
  <si>
    <t xml:space="preserve">Įgyvendintų socializacijos projektų skaičius      </t>
  </si>
  <si>
    <t>Atliktų šildymo punktų atnaujinimo darbų (II, III mikr.) apimtis</t>
  </si>
  <si>
    <t>01.01. Uždavinys. Stiprinti ir plėtoti visuomenės sveikatinimo veiklą</t>
  </si>
  <si>
    <t>09 Visagino savivaldybės ekonominės plėtros programa</t>
  </si>
  <si>
    <t>P-06-01-03-02</t>
  </si>
  <si>
    <t>Šeimų, globojančius vaikus, gavusių paramą skaičius</t>
  </si>
  <si>
    <t>P-06-01-03-03</t>
  </si>
  <si>
    <t>Priimtų tarybos sprendimų skaičius</t>
  </si>
  <si>
    <t>Organizuotų konferencijų verslo skatinimo klausimais skaičius</t>
  </si>
  <si>
    <t>Patikrintų objektų (įmonių, įstaigų, organizacijų, visuomenės informavimo priemonių, neperiodinės spaudos leidinių, reklamos ir viešųjų užrašų ir pan.) skaičius</t>
  </si>
  <si>
    <t>Pateiktų investicinio projekto finansavimo paraiškų skaičius</t>
  </si>
  <si>
    <t>P-06-01-03-07</t>
  </si>
  <si>
    <t>Bendrabučio tipo pastato, esančios Kosmoso g. 28 Visagine, patalpos pritaikytos socialinio būsto įrengimui (naujai įrengtų socialinių bustų skaičius)</t>
  </si>
  <si>
    <t>P-06-02-01-06</t>
  </si>
  <si>
    <t>Įkūrtų Savarankiško gyvenimo namų Visagine skaičius</t>
  </si>
  <si>
    <t>P-08-01-02-08</t>
  </si>
  <si>
    <t>Paremtų smulkaus ir vidutinio verslo įmonių skaičius</t>
  </si>
  <si>
    <t>R-09-01-04</t>
  </si>
  <si>
    <t>kWh</t>
  </si>
  <si>
    <t>Prižiūrimų objektų skaičius</t>
  </si>
  <si>
    <t>P-10-03-02-01</t>
  </si>
  <si>
    <t>Viešosios bibliotekos fondo dydis (knygos)</t>
  </si>
  <si>
    <t>Valstybinių švenčių, reikšmingų datų minėjimų skaičius</t>
  </si>
  <si>
    <t>Valstybinėse šventėse, minėjimuose apsilankiusių žiūrovų skaičius</t>
  </si>
  <si>
    <t>01.03. Uždavinys. Teikti paramą Visagino savivaldybės socialiai jautrių ir pažeidžiamų gyventojų grupėms, užkirsti kelią socialinės rizikos židinių formavimuisi</t>
  </si>
  <si>
    <t xml:space="preserve">Parengtų žemės sklypų planų ir/ar kadastrinių matavimų skaičius </t>
  </si>
  <si>
    <t>P-10-03-01-02</t>
  </si>
  <si>
    <t>E-03-03</t>
  </si>
  <si>
    <t>E-03-04</t>
  </si>
  <si>
    <t>02.02. Uždavinys.  Atnaujinti Visagino miesto centralizuoto šildymo sistemą</t>
  </si>
  <si>
    <t>P-10-02-02-01</t>
  </si>
  <si>
    <t>Kultūros įstaigų pateiktų projektų į nacionalinius ir ES fondus skaičius</t>
  </si>
  <si>
    <t>P-04-01-01-04</t>
  </si>
  <si>
    <t>Mėgėjų meno kolektyvų, studijų dalyvių skaičius (kultūros centre)</t>
  </si>
  <si>
    <t>Kultūros įstaigų materialinės bazės atnaujinimui skirti asignavimai</t>
  </si>
  <si>
    <t>P-02-01-02-02</t>
  </si>
  <si>
    <t>R-01-01-02</t>
  </si>
  <si>
    <t>Bendrojo naudojimo teritorijų tvarkymo ir sanitarijos darbai</t>
  </si>
  <si>
    <t>taip/ne</t>
  </si>
  <si>
    <t>Archyvinių dokumentų tvarkymas</t>
  </si>
  <si>
    <t>18</t>
  </si>
  <si>
    <t>01.01. Uždavinys. Sudaryti kuo palankesnes sąlygas pradėti ir plėtoti verslą</t>
  </si>
  <si>
    <t>P-09-01-01-01</t>
  </si>
  <si>
    <t>Dalyvauta verslui skatinti skirtuose renginiuose</t>
  </si>
  <si>
    <t>P-09-01-01-02</t>
  </si>
  <si>
    <t>P-09-01-01-03</t>
  </si>
  <si>
    <t>02 tikslas. Kurti palankią aplinką investicijoms</t>
  </si>
  <si>
    <t>VKC ir VVB organizuotų profesionalaus meno ir parodų skačius</t>
  </si>
  <si>
    <t>01.01. Uždavinys. Mažinti aplinkos užterštumą ir gerinti vandens telkinių, bendro naudojimo ir kitų teritorijų būklę</t>
  </si>
  <si>
    <t>Mokinių, sėkmingai išlaikiusiųjų mokyklinius ir valstybinius brandos egzaminus proc. nuo bendro laikiusiųjų mokyklinius ir valstybinius brandos egzaminus mokinių skaičiaus</t>
  </si>
  <si>
    <t>P-02-01-02-07</t>
  </si>
  <si>
    <t>P-02-01-02-08</t>
  </si>
  <si>
    <t>02.01. Uždavinys. Įgyvendinti jaunimo politiką siekiant padėti jauniems žmonėms pasirengti savarankiškam gyvenimui</t>
  </si>
  <si>
    <t>Užregistruotų nusikalstamų veikų skaičiaus mažėjimas</t>
  </si>
  <si>
    <t>R-05-03-02</t>
  </si>
  <si>
    <t>Įsteigtas Visagino savivaldybės visuomenės sveikatos priežiūros biuras</t>
  </si>
  <si>
    <t>P-07-01-01-04</t>
  </si>
  <si>
    <t>Sveikatingumo renginiuose (seminarai, konferencijos, paskaitos ir pan.) dalyvavusių mokinių skaičius</t>
  </si>
  <si>
    <t>Visagino miesto šaligatvių remonto/rekonstrukcijos darbai (KD)</t>
  </si>
  <si>
    <t>kv. m</t>
  </si>
  <si>
    <t>Finansuojamų biudžetinių įstaigų, teikiančių socialines paslaugas, skaičius</t>
  </si>
  <si>
    <t>01 tikslas. Skatinti smulkaus ir vidutinio verslo kūrimąsi ir plėtojimą, finansiškai remti smulkaus ir vidutinio verslo subjektus</t>
  </si>
  <si>
    <t>R-09-01-01</t>
  </si>
  <si>
    <t>P-06-01-02-05</t>
  </si>
  <si>
    <t xml:space="preserve">Asmenų, gavusių socialines pašalpas, skaičius </t>
  </si>
  <si>
    <t>P-06-01-02-06</t>
  </si>
  <si>
    <t>Išduotų kirsti, pertvarkyti ar genėti leidimų skaičius</t>
  </si>
  <si>
    <t>P-10-03-02-03</t>
  </si>
  <si>
    <t>Gyventojų, kurie naudojasi komunalinėmis paslaugomis, dalis nuo visų gyventojų skaičiaus</t>
  </si>
  <si>
    <t>01 tikslas. Efektyviai organizuoti Savivaldybės darbą, tinkamai įgyvendinti jos funkcijas</t>
  </si>
  <si>
    <t>REZULTATO:</t>
  </si>
  <si>
    <t>R-01-01-01</t>
  </si>
  <si>
    <t>vnt.</t>
  </si>
  <si>
    <t>10 Visagino savivaldybės viešosios infrastruktūros plėtros programa</t>
  </si>
  <si>
    <t>P-09-02-02-03</t>
  </si>
  <si>
    <t>Socialinių darbuotojų, jų padėjėjų, pakėlusių kvalifikaciją, skaičius</t>
  </si>
  <si>
    <t>P-06-02-01-03</t>
  </si>
  <si>
    <t>R-07-01-02</t>
  </si>
  <si>
    <t>R-07-01-03</t>
  </si>
  <si>
    <t>Naujai užregistruotų susirgimų (1000 suaugusiųjų/1000 vaikų) skaičius</t>
  </si>
  <si>
    <t>E-02-10</t>
  </si>
  <si>
    <t xml:space="preserve"> vnt.</t>
  </si>
  <si>
    <t>1420/2500</t>
  </si>
  <si>
    <t>1400/2450</t>
  </si>
  <si>
    <t>1390/2400</t>
  </si>
  <si>
    <t>Rekonstruotos paviršinių (lietaus) nuotekų nuotakyno dalies (kolektoriaus) ilgis (770 m), Visagino g. atkarpos rekonstrukcija</t>
  </si>
  <si>
    <t>P-10-01-01-05</t>
  </si>
  <si>
    <t>Materialinių investicijų skaičius</t>
  </si>
  <si>
    <t>R-09-02-01</t>
  </si>
  <si>
    <t>600 000</t>
  </si>
  <si>
    <t>Registruotų bedarbių dalis nuo darbingo amžiaus gyventojų</t>
  </si>
  <si>
    <t>E-04-03</t>
  </si>
  <si>
    <t>Parengtų Visagino savivaldybės visuomenės sveikatos stebėsenos (monitoringo) ataskaitų ir pasiūlymų dėl gyventojų sveikatos būklės skaičius</t>
  </si>
  <si>
    <t xml:space="preserve">Suteiktų konsultacijų skaičius (teikia visuomenės sveikatos biuras) </t>
  </si>
  <si>
    <t>R-07-01-01</t>
  </si>
  <si>
    <t>R-06-01-02</t>
  </si>
  <si>
    <t>Įgyvendintų priemonių nusikaltimų prevencijos srityje skaičius</t>
  </si>
  <si>
    <t>Vertinimo kriterijus</t>
  </si>
  <si>
    <t>R-03-01-02</t>
  </si>
  <si>
    <t>01 tikslas. Prižiūrėti ir modernizuoti savivaldybės susisiekimo viešąją infrastruktūrą</t>
  </si>
  <si>
    <t>R-10-01-01</t>
  </si>
  <si>
    <t>01.01. Uždavinys. Gerinti keleivių vežimo sąlygas</t>
  </si>
  <si>
    <t>Šeimų, gaunančių kompensacijas už šaltą vandenį, skaičius</t>
  </si>
  <si>
    <t>P-06-01-02-04</t>
  </si>
  <si>
    <t>Savivaldybės finansinių įsipareigojimų vykdymas (draudimų ir kt.)</t>
  </si>
  <si>
    <t>P-01-01-04-03</t>
  </si>
  <si>
    <t>Eur</t>
  </si>
  <si>
    <t>72 500</t>
  </si>
  <si>
    <t>73 000</t>
  </si>
  <si>
    <t>75 000</t>
  </si>
  <si>
    <t>01.01. Uždavinys. Užtikrinti efektyvią kultūros įstaigų veiklą</t>
  </si>
  <si>
    <t>P-09-01-01-08</t>
  </si>
  <si>
    <t>Sveikatinimo renginiuose dalyvavusių asmenų skaičius</t>
  </si>
  <si>
    <t>02.01. Uždavinys. Organizuoti ir koordinuoti vykdomus kultūrinius renginius</t>
  </si>
  <si>
    <t>P-02-01-01-08</t>
  </si>
  <si>
    <t>Valstybinės kalbos mokymo kursuose besimokančių žmonių skaičius (pagal kategorijas)</t>
  </si>
  <si>
    <t>P-02-01-01-09</t>
  </si>
  <si>
    <t>I kategorija</t>
  </si>
  <si>
    <t>03 tikslas. Kurti palankią turizmui aplinką</t>
  </si>
  <si>
    <t>R-09-03-01</t>
  </si>
  <si>
    <t>03.01. Uždavinys. Plėsti turizmo, rekreacijos, poilsio ir paslaugų infrastruktūrą</t>
  </si>
  <si>
    <t>P-08-01-02-04</t>
  </si>
  <si>
    <t>P-06-01-03-06</t>
  </si>
  <si>
    <t>P-09-02-03-04</t>
  </si>
  <si>
    <t>Rekonstruotų pastatų, taikant šiuolaikiškas energiją taupančias technologijas ir pritaikytas parko administravimo veiklos vykdymui, verslo inkubatoriaus įkūrimui, skaičius</t>
  </si>
  <si>
    <t>Sukurtos arba atnaujintos atviros erdvės miestų vietovėse</t>
  </si>
  <si>
    <t>89 245 (~8,9 ha)</t>
  </si>
  <si>
    <t xml:space="preserve">Išvalytas pagrindinis kolektorius (I mkr.) </t>
  </si>
  <si>
    <t>P-08-01-02-07</t>
  </si>
  <si>
    <t>P-01-02-03-02</t>
  </si>
  <si>
    <t>ES</t>
  </si>
  <si>
    <t>Lėšų, skirtų SVV rėmimui, panaudojimas</t>
  </si>
  <si>
    <t>Sukurtų naujų interneto svetainių apie Visaginą skaičius</t>
  </si>
  <si>
    <t>Rizikos šeimų, gaunančių socialines paslaugas, skaičius</t>
  </si>
  <si>
    <t>Organizuotas privalamojo darbuotojų sveikatos tikrinimas (Visagino savivaldybės administracijoje), darbuotojų skaičius</t>
  </si>
  <si>
    <t>ne daugiau 11%</t>
  </si>
  <si>
    <t>Gyventojų informavimo veiklos įgyvendinimas</t>
  </si>
  <si>
    <t>02.02. Uždavinys. Gerinti visuomenei teikiamų paslaugų kokybę, didinant jų atitikimą visuomenės poreikiams</t>
  </si>
  <si>
    <t>P-01-02-02-02</t>
  </si>
  <si>
    <t>P-01-02-02-03</t>
  </si>
  <si>
    <t>P-07-01-02-02</t>
  </si>
  <si>
    <t>P-01-02-02-01</t>
  </si>
  <si>
    <t>P-08-01-02-02</t>
  </si>
  <si>
    <t>2017 m. planas</t>
  </si>
  <si>
    <t>Mažas pajamas turinčių šeimų, gaunančių būsto šildymo išlaidų ir išlaidų karštam vandeniui kompensacijas, skaičius</t>
  </si>
  <si>
    <t>P-06-01-02-03</t>
  </si>
  <si>
    <t>Valstybinės kalbos centras</t>
  </si>
  <si>
    <t>Menų mokykla</t>
  </si>
  <si>
    <t>Kūrybos namai</t>
  </si>
  <si>
    <t>PMMMC</t>
  </si>
  <si>
    <t>4programa</t>
  </si>
  <si>
    <t>Kultūros centras</t>
  </si>
  <si>
    <t>Paramos vaikui centras</t>
  </si>
  <si>
    <t>Augimo proc.</t>
  </si>
  <si>
    <t>Mokinių skaičius</t>
  </si>
  <si>
    <t>1 mokiniui, 2015</t>
  </si>
  <si>
    <t>1 mokiniui, 2016</t>
  </si>
  <si>
    <t>Skirtumas, Eur</t>
  </si>
  <si>
    <t>Rekreacijos pasl. centras</t>
  </si>
  <si>
    <t>BENDRAS</t>
  </si>
  <si>
    <t>BENDRAS (Mokyklos)</t>
  </si>
  <si>
    <t>BENDRAS (Darželiai)</t>
  </si>
  <si>
    <t>Organizuoti savivaldybės veiklą vadovaujantis šiuolaikiniais vadybos metodais</t>
  </si>
  <si>
    <t>Verslumo lygis (veikiančių SVV įmonių skaičius tenkantis 1000 gyventojų)</t>
  </si>
  <si>
    <t>E-04-01</t>
  </si>
  <si>
    <t>Naujai įregistruotų įmonių skaičius</t>
  </si>
  <si>
    <t>E-04-02</t>
  </si>
  <si>
    <t>Priemonių, skatinančių turizmo plėtrą savivaldybėje, skaičius</t>
  </si>
  <si>
    <t>P-09-03-01-02</t>
  </si>
  <si>
    <t>01 tikslas. Racionaliai naudojant lėšas, užtikrinti kultūros įstaigų funkcionalumą ir efektyvų darbą</t>
  </si>
  <si>
    <t>Įstaigose organizuotų renginių skaičius</t>
  </si>
  <si>
    <t>P-02-01-01-12</t>
  </si>
  <si>
    <t>P-02-01-01-13</t>
  </si>
  <si>
    <t>1; 52</t>
  </si>
  <si>
    <t>BENDRAS (Neform)</t>
  </si>
  <si>
    <t>P-01-01-02-02</t>
  </si>
  <si>
    <t>P-01-01-02-03</t>
  </si>
  <si>
    <t>6 000</t>
  </si>
  <si>
    <t>Suteiktų pirminės teisinės pagalbos konsultacijų skaičius</t>
  </si>
  <si>
    <t>P-01-01-02-04</t>
  </si>
  <si>
    <t>02.04. Uždavinys. Renovuoti ir įrengti automobilių stovėjimo, dviračių ir pėsčiųjų takus, sporto ir laisvalaikio aikšteles</t>
  </si>
  <si>
    <t>P-10-02-04-01</t>
  </si>
  <si>
    <t>Vykdomų projektų, skatinančių socialinių paslaugų plėtrą, skaičius</t>
  </si>
  <si>
    <t>R-06-02-03</t>
  </si>
  <si>
    <t>Registruotų paraiškų skaičius (I.Dovidovičienė)</t>
  </si>
  <si>
    <t>P-01-01-01-02</t>
  </si>
  <si>
    <t>Renovuotų sporto ir laisvalaikio aikštelių skaičius</t>
  </si>
  <si>
    <t>02.05. Uždavinys. Remontuoti ir prižiūrėti savivaldybės turtą</t>
  </si>
  <si>
    <t>Įsigytų triukšmomačių skaičius</t>
  </si>
  <si>
    <t>01.01. Uždavinys.  Užtikrinti efektyvią biudžetinių įstaigų veiklą</t>
  </si>
  <si>
    <t>2018 m. planas</t>
  </si>
  <si>
    <t>P-10-03-01-04</t>
  </si>
  <si>
    <t>Įrengtų viešojo dizaino elementų skaičius</t>
  </si>
  <si>
    <t>P-09-03-01-04</t>
  </si>
  <si>
    <t>R-06-01-04</t>
  </si>
  <si>
    <t>2019 m. planas</t>
  </si>
  <si>
    <t>Organizuotų tarptautinių vaizdo konferencijų, svečių vizitų (susitikimų) skaičius</t>
  </si>
  <si>
    <t>0; 2</t>
  </si>
  <si>
    <t>50-52</t>
  </si>
  <si>
    <t>P-10-03-01-01</t>
  </si>
  <si>
    <t>R-06-02-02</t>
  </si>
  <si>
    <t>Įkurtų vaikų dienos centrų skaičius</t>
  </si>
  <si>
    <t>Vaikų, kuriems vaikų dienos centre teikiamos socialinės paslaugos, skaičius</t>
  </si>
  <si>
    <t>P-06-02-01-05</t>
  </si>
  <si>
    <t>P-01-01-02-01</t>
  </si>
  <si>
    <t>02 Visagino savivaldybės švietimo paslaugų plėtros programa</t>
  </si>
  <si>
    <t>Socialinių išmokų ir kompensacijų administravimas</t>
  </si>
  <si>
    <t>Bendrųjų ugdymo planų valandų, skirtų papildomajam ugdymui, panaudojimas</t>
  </si>
  <si>
    <t>P-02-01-01-05</t>
  </si>
  <si>
    <t>Remontuotų savivaldybės įstaigų skaičius</t>
  </si>
  <si>
    <t>Mokinių, sėkmingai išlaikiusių mokyklinius ir valstybinius brandos egzaminus, skaičius</t>
  </si>
  <si>
    <t>P-02-01-02-06</t>
  </si>
  <si>
    <t>Pastatų konstrukcijų remontas, avar. darbai</t>
  </si>
  <si>
    <t>Savivaldybės gatvių apšvietimas</t>
  </si>
  <si>
    <t>Gerosios vilties</t>
  </si>
  <si>
    <t>Draugystės</t>
  </si>
  <si>
    <t>Verdenės</t>
  </si>
  <si>
    <t>Žiburio</t>
  </si>
  <si>
    <t>Kūlverstukas</t>
  </si>
  <si>
    <t>Auksinis raktelis</t>
  </si>
  <si>
    <t>Auksinis gaidelis</t>
  </si>
  <si>
    <t>Ąžuoliukas</t>
  </si>
  <si>
    <t>Gintarėlis</t>
  </si>
  <si>
    <t>01 Visagino savivaldybės valdymo tobulinimo programa</t>
  </si>
  <si>
    <t>R-10-02-01</t>
  </si>
  <si>
    <t>R-10-02-02</t>
  </si>
  <si>
    <t>03.01. Uždavinys. Kurti saugią aplinką Visagino savivaldybėje</t>
  </si>
  <si>
    <t>Kvalifikaciją kėlusių darbuotojų dalis nuo visų darbuotojų</t>
  </si>
  <si>
    <t>R-01-02-01</t>
  </si>
  <si>
    <t>Informacinių pranešimų apie savivaldybės veiklą skaičius</t>
  </si>
  <si>
    <t>R-01-02-02</t>
  </si>
  <si>
    <t>01 tikslas. Skatinti savivaldybės gyventojus užsiimti įvairia sportine veikla</t>
  </si>
  <si>
    <t>Savivaldybėje organizuotų renginių skaičius</t>
  </si>
  <si>
    <t>01.01. Uždavinys.  Skatinti vietos bendruomenių iniciatyvas</t>
  </si>
  <si>
    <t>02 tikslas. Sukurti palankią aplinką jauno žmogaus vertingam gyvenimui ir saviraiškai savivaldybės teritorijoje</t>
  </si>
  <si>
    <t>R-05-03-01</t>
  </si>
  <si>
    <t>P-10-01-01-03</t>
  </si>
  <si>
    <t>01.02. Uždavinys. Prižiūrėti bei tvarkyti (remontuoti) miesto ir savivaldybės susisiekimo viešąją infrastruktūrą</t>
  </si>
  <si>
    <t>100</t>
  </si>
  <si>
    <t>02 tikslas. Prižiūrėti ir modernizuoti savivaldybės viešąją infrastruktūrą</t>
  </si>
  <si>
    <t>Abiturientų, įstojusių į aukštąsias mokyklas, dalis nuo visų abiturientų skaičiaus</t>
  </si>
  <si>
    <t>Socialines paslaugas gavusių asmenų skaičius</t>
  </si>
  <si>
    <t>01.02. Uždavinys. Užtikrinti efektyvų valstybinių (perduotų savivaldybei) ir savarankiškų savivaldybės funkcijų vykdymą</t>
  </si>
  <si>
    <t xml:space="preserve">Organizuotų įvairių visuomenės sveikatingumo stiprinimo skatinimo renginių skaičius </t>
  </si>
  <si>
    <t>E-01-01</t>
  </si>
  <si>
    <t>proc.</t>
  </si>
  <si>
    <t>Vykusių akcijų ekologijos srityje skaičius</t>
  </si>
  <si>
    <t>R-08-01-03</t>
  </si>
  <si>
    <t>02.01. Uždavinys.  Pritraukti ES ir kitų fondų lėšas miesto plėtros projektams įgyvendinti</t>
  </si>
  <si>
    <t>P-09-02-01-01</t>
  </si>
  <si>
    <t>02.02. Uždavinys.  Kurti aplinką, kuri sąlygotų investicijų pritraukimą</t>
  </si>
  <si>
    <t>03 Visagino savivaldybės kūno kultūros ir sporto plėtros programa</t>
  </si>
  <si>
    <t>02.06. Uždavinys. Vykdyti Visagino miesto energetinio efektyvumo didinimo daugiabučiuose namuose programą „Visagino EnerVizija“</t>
  </si>
  <si>
    <t>P-10-02-06-01</t>
  </si>
  <si>
    <t>P-01-01-03-02</t>
  </si>
  <si>
    <t>Dalyvauta turizmui vystyti skirtuose renginiuose skaičius</t>
  </si>
  <si>
    <t>P-09-03-02-01</t>
  </si>
  <si>
    <t>P-09-03-02-02</t>
  </si>
  <si>
    <t>1</t>
  </si>
  <si>
    <t>Integralios pagalbos gavėjų skaičius</t>
  </si>
  <si>
    <t>Įgyvendintų  projektų ir organizuotų renginių skaičius vaikų ir jaunimo socializacijos bei jaunimo politikos srityje</t>
  </si>
  <si>
    <t>E-02-04</t>
  </si>
  <si>
    <t>Įgyvendintų/įgyvendinamų investicinių projektų, finansuojamų iš ES ir kitų fondų paramos</t>
  </si>
  <si>
    <t>Įrengtų kolumbariumų skaičius</t>
  </si>
  <si>
    <t>02.02. Uždavinys. Aktyvinti bendruomenę ugdant pilietiškumą, sudarant sąlygas jos nariams dalyvauti konkursuose, vietos ir kitų regionų koncertinėse programose ir mokymuose bei profesionalaus meno renginiuose pagal amžiaus grupes</t>
  </si>
  <si>
    <t>01 tikslas. Kurti saugią, švarią ir sveiką aplinką</t>
  </si>
  <si>
    <t>Lavinamosiose klasėse besiugdančių specialiųjų poreikių mokinių skaičius</t>
  </si>
  <si>
    <t>Mokinių, besiugdančių pagal vidurinio ugdymo programas, skaičius</t>
  </si>
  <si>
    <t>Įregistruotų civilinės būklės aktų skaičius</t>
  </si>
  <si>
    <t>Mokyklų, dalyvaujančių nacionalinio lygmens projektuose partnerio teise, skaičius</t>
  </si>
  <si>
    <t>Suteiktos paramos dalis (dantų protezavimo išlaidų kompensavimas)</t>
  </si>
  <si>
    <t>Parengtų techninių projektų skaičius</t>
  </si>
  <si>
    <t>P-09-03-01-03</t>
  </si>
  <si>
    <t>R-03-01-01</t>
  </si>
  <si>
    <t>Socialinių paslaugų centras</t>
  </si>
  <si>
    <t>P-02-01-01-11</t>
  </si>
  <si>
    <t>02.01. Uždavinys. Užtikrinti efektyvų ir sistemingą savivaldybės administracijos valstybės tarnautojų ir darbuotojų mokymą</t>
  </si>
  <si>
    <t>P-08-01-01-03</t>
  </si>
  <si>
    <t>P-08-01-01-04</t>
  </si>
  <si>
    <t>skaičius</t>
  </si>
  <si>
    <t>Įstaigos pajamos ugdymui</t>
  </si>
  <si>
    <t>Apšiltintų viešųjų pastatų skaičius</t>
  </si>
  <si>
    <t>P-05-03-01-01</t>
  </si>
  <si>
    <t>P-05-03-02-01</t>
  </si>
  <si>
    <t>03 tikslas. Kurti saugią ir patogią gyvenimo aplinką</t>
  </si>
  <si>
    <t xml:space="preserve">03.03. Uždavinys. Remti daugiabučių namų savininkus (bendrijas) </t>
  </si>
  <si>
    <t>02.03. Uždavinys. Sudaryti sąlygas sukurti darbo vietas aukštospridėtinės vertės (inovatyviai) pramonei ir verslui vystyti Visagine, plėtojant jį kaip šalies Energetikos kompetencijų centrą</t>
  </si>
  <si>
    <t>P-09-02-03-01</t>
  </si>
  <si>
    <t>Specialistų, dalyvavusių kvalifikacijos kėlimo kursuose, dalis nuo bendro sporto srities specialistų skaičiaus</t>
  </si>
  <si>
    <t>Sukurtų naujų darbo vietų SVV subjektuose, kuriems buvo suteikta finansinė parama iš SVV plėtros skatinimo priemonės</t>
  </si>
  <si>
    <t>Gavusių paramą ūkio subjektų dalis nuo visų besikreipiančių paramos iš SVV plėtros skatinimo priemonės, procentas</t>
  </si>
  <si>
    <t>13 % ir/ar mažiau nei Lietuvos lygis</t>
  </si>
  <si>
    <t>Formaliojo ir neformaliojo ugdymo paslaugas teikiančių įstaigų/organizacijų skaičius</t>
  </si>
  <si>
    <t>Atliktų valdymo tobulinimo analizių skaičius</t>
  </si>
  <si>
    <t>Suremontuotų gatvių (kelių) (su aplinkinės teritorijos sutvarkymo darbais), įgyvendinant investicinius projektus, skaičius</t>
  </si>
  <si>
    <t>Savivaldybės įsipareigojimų vykdymas po projektų įgyvendinimo</t>
  </si>
  <si>
    <t>Įgyvendintų/įgyvendinamų projektų, modernizuojant savivaldybės viešąją infrastruktūrą, skaičius</t>
  </si>
  <si>
    <t xml:space="preserve">02 tikslas. Įgyvendinti valstybinę kultūros politiką per kultūrinius renginius, valstybei, tautai, savivaldybei reikšmingų sukakčių ir datų minėjimus, įtraukiant į jos vyksmą kuo platesnę bendruomenės dalį </t>
  </si>
  <si>
    <t>Įgyvendintų projektų skaičius</t>
  </si>
  <si>
    <t>Natūrali gyventojų kaita</t>
  </si>
  <si>
    <t>E-02-08</t>
  </si>
  <si>
    <t>Vienas gyventojas vidutiniškai apsilankė poliklinikose ir ambulatorijose</t>
  </si>
  <si>
    <t>Apšvietimo tinklų ir elektros įrangos remontas ir aptarnavimas</t>
  </si>
  <si>
    <t>P-03-01-02-03</t>
  </si>
  <si>
    <t>II kategorija</t>
  </si>
  <si>
    <t>III kategorija</t>
  </si>
  <si>
    <t>P-02-01-01-10</t>
  </si>
  <si>
    <t>60 000</t>
  </si>
  <si>
    <t>Į VKC filialo veiklą įtrauktų NVO skaičius</t>
  </si>
  <si>
    <t>P-01-01-02-06</t>
  </si>
  <si>
    <t>Paremtų projektų, skirtų lygioms galimybėms užtikrinti, skaičius</t>
  </si>
  <si>
    <t>P-05-01-01-03</t>
  </si>
  <si>
    <t>P-06-01-03-08</t>
  </si>
  <si>
    <t>Jaunimo teisių apsauga</t>
  </si>
  <si>
    <t>Gyventojų registro tvarkymas ir duomenų teikimas valstybės registrui</t>
  </si>
  <si>
    <t>P-08-01-01-09</t>
  </si>
  <si>
    <t>P-10-02-01-01</t>
  </si>
  <si>
    <t>02.04. Uždavinys. Informuoti visuomenę apie savivaldybės veiklą ir formuoti teigiamą savivaldybės įvaizdį, plėtoti dalykinius santykius ir ryšius su tarptautinėmis ir vietinėmis institucijomis ir organizacijomis</t>
  </si>
  <si>
    <t>2 programa</t>
  </si>
  <si>
    <t>3 programa</t>
  </si>
  <si>
    <t>6 programa</t>
  </si>
  <si>
    <t>Įvairių renginių (pranešimų, paskaitų, pamokų, diskusijų, konkursų ir kt.) alkoholio, tabako ir narkotikų vartojimo prevencijos klausimais skaičius</t>
  </si>
  <si>
    <t>Organizuotų įvairių renginių (pranešimų, paskaitų, pamokų, diskusijų, konkursų ir kt.) užkrečiamųjų ligų profilaktikos ir asmens higienos klausimais skaičius</t>
  </si>
  <si>
    <t>įmonių skaičius</t>
  </si>
  <si>
    <t>03 strateginis tikslas. Plėtoti savivaldybės inžinerinę, susisiekimo ir rekreacinę infrastruktūrą, kurti palankią gyvenamąją aplinką</t>
  </si>
  <si>
    <t>Išmestų teršalų kiekis į atmosferą iš stacionarių taršos šaltinių</t>
  </si>
  <si>
    <t>Vasaros užimtumo programų dalyvių skaičius</t>
  </si>
  <si>
    <t>P-01-02-01-01</t>
  </si>
  <si>
    <t>darbuotojų skaičius</t>
  </si>
  <si>
    <t>Įgijusių išsilavinimą pagal ugdymo programas mokinių dalis:</t>
  </si>
  <si>
    <t>R-02-01-03</t>
  </si>
  <si>
    <t>- pagal vidurinio ugdymo programą</t>
  </si>
  <si>
    <t>Pateiktų paraiškų projektų finansavimui gauti skaičius</t>
  </si>
  <si>
    <t>Registruotų vartotojų skaičius (viešojoje bibliotekoje)</t>
  </si>
  <si>
    <t>P-04-01-01-01</t>
  </si>
  <si>
    <t>R-04-01-01</t>
  </si>
  <si>
    <t>R-04-01-02</t>
  </si>
  <si>
    <t>R-04-01-03</t>
  </si>
  <si>
    <t>Projektų, skirtų neįgaliųjų socialinei reabilitacijai, skaičius</t>
  </si>
  <si>
    <t>P-06-02-01-01</t>
  </si>
  <si>
    <t>5</t>
  </si>
  <si>
    <t xml:space="preserve">5 </t>
  </si>
  <si>
    <t>Išvalytų vandens telkinių, kuriuose atliekami vandens kokybės tyrimai, skaičius</t>
  </si>
  <si>
    <t>ne daugiau 600 tonų (ne daugiau 30 kg vienam gyventojui)</t>
  </si>
  <si>
    <t>ne daugiau 550 tonų (ne daugiau 28 kg vienam gyventojui)</t>
  </si>
  <si>
    <t>01.01. Uždavinys. Užtikrinti efektyvią savivaldybės biudžetinių socialinių paslaugų įstaigų veiklą</t>
  </si>
  <si>
    <t>P-02-01-02-01</t>
  </si>
  <si>
    <t>P-02-01-01-06</t>
  </si>
  <si>
    <t>P-02-01-01-07</t>
  </si>
  <si>
    <t>03.02. Uždavinys.  Užtikrinti turizmo informacijos sklaidą, skatinti turizmo plėtrą savivaldybėje</t>
  </si>
  <si>
    <t>P-09-03-02-03</t>
  </si>
  <si>
    <t>Užtikrinta Visagino rekreacijos paslaugų centro filialo „Visagino parkas“ veikla</t>
  </si>
  <si>
    <t>Parengtas savivaldybės rinkodaroas planas</t>
  </si>
  <si>
    <t>P-09-01-01-09</t>
  </si>
  <si>
    <t>08</t>
  </si>
  <si>
    <t>10</t>
  </si>
  <si>
    <t>P-09-01-01-07</t>
  </si>
  <si>
    <t xml:space="preserve">vnt. </t>
  </si>
  <si>
    <t>P-08-01-02-05</t>
  </si>
  <si>
    <t>P-08-01-02-06</t>
  </si>
  <si>
    <t>Organizuotų jaunimo verslumui skatinti renginių skaičius</t>
  </si>
  <si>
    <t>80 000</t>
  </si>
  <si>
    <t>R-08-01-04</t>
  </si>
  <si>
    <t>P-01-01-04-02</t>
  </si>
  <si>
    <t>Žemės ūkio funkcijų vykdymas</t>
  </si>
  <si>
    <t>Parengtų techninių dokumentų skaičius</t>
  </si>
  <si>
    <t>Būsto nuomos ir išperkamosios būsto nuomos mokesčių dalies kompensacijų administravimas</t>
  </si>
  <si>
    <t>1 200</t>
  </si>
  <si>
    <t>01.04. Uždavinys. Sudaryti sąlygas iš anksto negalimoms suplanuoti priemonėms vykdyti bei savivaldybės įsipareigojimams įgyvendinti</t>
  </si>
  <si>
    <t>Atgimimo</t>
  </si>
  <si>
    <t>2015 m. Tūkst. Eur</t>
  </si>
  <si>
    <t>2016 m. Tūkst. Eur</t>
  </si>
  <si>
    <t>2016 m. Dalis, %</t>
  </si>
  <si>
    <t>Socialinių pašalpų ir kompensacijų mokėjimas</t>
  </si>
  <si>
    <t>Socialinių pašalpų ir kompensacijų skaičiavimas</t>
  </si>
  <si>
    <t>P-03-01-02-02</t>
  </si>
  <si>
    <t>VB</t>
  </si>
  <si>
    <t>Parengtų papildomų komunalinių atliekų ir antrinių žaliavų surinkimo konteinerių aikštelių įrengimo techninių projektų skaičius</t>
  </si>
  <si>
    <t>P-08-01-01-05</t>
  </si>
  <si>
    <t>02.01. Uždavinys.  Skatinti socialinių paslaugų plėtrą bendruomenėje</t>
  </si>
  <si>
    <t>Asmenų, gavusių globos (rūpybos) išmokas, skaičius</t>
  </si>
  <si>
    <t>P-06-01-02-07</t>
  </si>
  <si>
    <t>Mokinių, gavusių socialinę paramą, skaičius</t>
  </si>
  <si>
    <t>Mokinių, lankančių sporto įstaigą, skaičius</t>
  </si>
  <si>
    <t>P-03-01-01-01</t>
  </si>
  <si>
    <t>01.02. Uždavinys. Plėtoti ir tobulinti sporto varžybas ir sporto sveikatingumo renginius siekiant įtraukti vaikus, jaunimą ir kitas gyventojų grupes į sportinę veiklą, rengti sporto specialistus</t>
  </si>
  <si>
    <t>Įsigytų antrinių žaliavų surinkimo konteinerių skaičius</t>
  </si>
  <si>
    <t>Įrengtų mišrių komunalinių atliekų ir antrinių žaliavų konteinerių aikštelių skaičius</t>
  </si>
  <si>
    <t>2015 m. Dalis, %</t>
  </si>
  <si>
    <t>R-01-01-04</t>
  </si>
  <si>
    <t>Įgyvendintų rekomendacijų santykis nuo pateiktų vidaus audito metu rekomendacijų, proc.</t>
  </si>
  <si>
    <t>Darbuotojų, kėlusių savo kvalifikaciją skaičius</t>
  </si>
  <si>
    <t>Įrengtų turistinių stovyklaviečių (kempingų), sutvarkant poilsio zoną, skaičius</t>
  </si>
  <si>
    <t>P-04-01-01-02</t>
  </si>
  <si>
    <t>P-10-01-01-04</t>
  </si>
  <si>
    <t>R-09-01-05</t>
  </si>
  <si>
    <t>R-09-01-06</t>
  </si>
  <si>
    <t>SVV subjektų, gavusių negrąžintiną finansinę paramą, skaičius</t>
  </si>
  <si>
    <t>02 tikslas. Užtikrinti ir skatinti socialinių paslaugų teikimą bei plėtrą bendruomenėje</t>
  </si>
  <si>
    <t>R-06-02-01</t>
  </si>
  <si>
    <t>P-09-02-03-02</t>
  </si>
  <si>
    <t>2</t>
  </si>
  <si>
    <t>0</t>
  </si>
  <si>
    <t>Pateiktų projektinių pasiūlymų projektų finansavimui gauti skaičius</t>
  </si>
  <si>
    <t>Įgyvendinamų/įgyvendintų projektų turizmo, rekreacijos, poilsio ir paslaugų srityje skaičius</t>
  </si>
  <si>
    <t>Įkurtų turizmo informacijos centrų skaičius</t>
  </si>
  <si>
    <t>R-09-03-02</t>
  </si>
  <si>
    <t>Įrengtų aktyvaus poilsio, sporto ir turizmo traukos objektų skaičius</t>
  </si>
  <si>
    <t>P-09-03-01-01</t>
  </si>
  <si>
    <t>Administracinės naštos mažinimo priemonių plano įgyvendinimas</t>
  </si>
  <si>
    <t>R-04-02-01</t>
  </si>
  <si>
    <t>Viešoji biblioteka</t>
  </si>
  <si>
    <t>Priemonės pavadinimas</t>
  </si>
  <si>
    <t>E-02-01</t>
  </si>
  <si>
    <t>E-02-02</t>
  </si>
  <si>
    <t>E-02-03</t>
  </si>
  <si>
    <t>Vaikų, besiugdančių pagal ikimokyklinio  ugdymo programas, skaičius</t>
  </si>
  <si>
    <t>P-02-01-01-01</t>
  </si>
  <si>
    <t>Keleivių vežimo nuostolių padengimas</t>
  </si>
  <si>
    <t>P-07-01-03-01</t>
  </si>
  <si>
    <t>Programa</t>
  </si>
  <si>
    <t>72 000</t>
  </si>
  <si>
    <t>65 000</t>
  </si>
  <si>
    <t>Darbo vietų, kuriems atliktas rizikos vertinimas, skaičius</t>
  </si>
  <si>
    <t>Kultūros įstaigų skaičius</t>
  </si>
  <si>
    <t>P-02-01-01-14</t>
  </si>
  <si>
    <t>P-02-01-01-15</t>
  </si>
  <si>
    <t>P-02-01-02-03</t>
  </si>
  <si>
    <t>Šalies olimpiadose ir konkursuose prizines vietas laimėjusiųjų mokinių skaičius</t>
  </si>
  <si>
    <t>P-02-01-02-04</t>
  </si>
  <si>
    <t>P-02-01-02-05</t>
  </si>
  <si>
    <t>P-02-01-02-09</t>
  </si>
  <si>
    <t>* leidinio "V každyj dom" numerių skaičius (per metus)</t>
  </si>
  <si>
    <t>SVV plėtros skatinimas savivaldybėje</t>
  </si>
  <si>
    <t>priemonės virš 30 tūkst. Eur</t>
  </si>
  <si>
    <t>Organizuotų ir įvykdytų kelionių dalis nuo pateiktų paraiškų skaičiaus</t>
  </si>
  <si>
    <t>01 tikslas. Užtikrinti ugdymo programų įvairovę, paslaugų prieinamumą ir kokybę</t>
  </si>
  <si>
    <t>R-02-01-01</t>
  </si>
  <si>
    <t>Asmenų, atlikusių viešuosius darbus, skaičius</t>
  </si>
  <si>
    <t>P-01-01-02-05</t>
  </si>
  <si>
    <t>P-10-02-05-03</t>
  </si>
  <si>
    <t>P-10-02-03-01</t>
  </si>
  <si>
    <t>P-09-02-02-01</t>
  </si>
  <si>
    <t>Virš 0 (teigiamas skaičius)</t>
  </si>
  <si>
    <t>P-04-02-01-02</t>
  </si>
  <si>
    <t>R-05-01-01</t>
  </si>
  <si>
    <t>Prižiūrimos, tvarkomos bendro naudojimo teritorijos</t>
  </si>
  <si>
    <t>01.02. Uždavinys. Organizuoti renginius, turinčius įtakos ugdymo proceso kokybei, skirtus tęstiniam mokymuisi</t>
  </si>
  <si>
    <t>Valstybės investicijų programos vykdomų projektų skaičius (10 programoje)</t>
  </si>
  <si>
    <t>01.03. Uždavinys. Užtikrinti Savivaldybės darbuotojų saugą darbe</t>
  </si>
  <si>
    <t>Įrengtų elektromobilių greito įkrovimo prieigų skaičius</t>
  </si>
  <si>
    <t>Nacionalinių neformalių jaunimo ir mokinių susivienijimų, kuriuose atstovaujama, skaičius</t>
  </si>
  <si>
    <t>P-05-02-01-02</t>
  </si>
  <si>
    <t xml:space="preserve">kv. m </t>
  </si>
  <si>
    <t>m</t>
  </si>
  <si>
    <t>Viešosios komunalinių atliekų tvarkymo paslaugos teikimas atliekų turėtojams</t>
  </si>
  <si>
    <t>Savivaldybės įstaigų veiklos organizavimas</t>
  </si>
  <si>
    <t>SB</t>
  </si>
  <si>
    <t>Atlikta miesto paviršinių nuotekų tvarkymo sistemų inventorizacija (dokumentų paketas)</t>
  </si>
  <si>
    <t>E-03-01</t>
  </si>
  <si>
    <t>tonos (kg 1 gyventojui)</t>
  </si>
  <si>
    <t>Organizuotų mokymų verslininkams skaičius</t>
  </si>
  <si>
    <t>P-09-01-01-06</t>
  </si>
  <si>
    <t>R-05-03-03</t>
  </si>
  <si>
    <t>Savivaldybės vidinės ir tarptautinės migracijos saldo</t>
  </si>
  <si>
    <t>E-02-07</t>
  </si>
  <si>
    <t>2 lentelė</t>
  </si>
  <si>
    <t>Socialinės globos paslaugų gavėjų skaičius socialinių paslaugų įstaigose</t>
  </si>
  <si>
    <t>01.02. Uždavinys. Užtikrinti socialinių išmokų ir kompensacijų mokėjimą</t>
  </si>
  <si>
    <t>P-06-01-02-01</t>
  </si>
  <si>
    <t>Nėščių moterų, gavusių vienkartines išmokas, skaičius</t>
  </si>
  <si>
    <t>P-06-01-02-02</t>
  </si>
  <si>
    <t>Nusikalstamumo mažinimas, panaudojant vaizdo stebėjimo kamerų tinklą</t>
  </si>
  <si>
    <t>Priimtų administracijos direktoriaus įsakymų veiklos klausimais skaičius</t>
  </si>
  <si>
    <t>Organizuotų turto nuomos konkursų skaičius</t>
  </si>
  <si>
    <t>Patvirtintų strateginio planavimo ir veiklos vertinimo dokumentų ir ataskaitų skaičius</t>
  </si>
  <si>
    <t>Surengtų viešųjų pirkimų skaičius</t>
  </si>
  <si>
    <t>Gavusių paramą ūkio subjektų skaičius</t>
  </si>
  <si>
    <t>P-01-01-01-01</t>
  </si>
  <si>
    <t>Rekonstruotų teniso kortų skaičius</t>
  </si>
  <si>
    <t>Įgyvendintų energiją taupančių priemonių, namų techninių defektų, kurie kelią grėsmę namo ar atskirų jo konstrukcijų stabilumui ir (ar) žmonių saugumui, pašalinimo (remonto) darbų, skaičius</t>
  </si>
  <si>
    <t>P-05-03-02-02</t>
  </si>
  <si>
    <t>P-05-03-02-03</t>
  </si>
  <si>
    <t>P-05-03-02-04</t>
  </si>
  <si>
    <t>Įsteigtų naujų Bendrijų skaičius</t>
  </si>
  <si>
    <t>R-05-03-04</t>
  </si>
  <si>
    <t>01 strateginis tikslas. Gerinti savivaldybės valdymą, formuoti Visagino savivaldybės, kaip modernios, šiuolaikiškai besitvarkančios savivaldybės įvaizdį</t>
  </si>
  <si>
    <t>EFEKTO:</t>
  </si>
  <si>
    <t>Gyventojų, kurie savivaldybės administracijos veiklą vertina palankiai, dalis</t>
  </si>
  <si>
    <t>Naujų kapinių techninio projekto parengimas ir naujų kapinių įrengimas, kolumbariumo įrengimas</t>
  </si>
  <si>
    <t>04 strateginis tikslas. Kurti ekonominę aplinką, palankią pramonei, verslui, turizmui, investicijoms ir žinių ekonomikai plėtoti</t>
  </si>
  <si>
    <t>03 tikslas. Teikti gyventojams kokybiškas komunalines paslaugas, prižiūrėti ir remontuoti objektus, kurti saugią ir patogią gyvenimo aplinką</t>
  </si>
  <si>
    <t>R-10-03-01</t>
  </si>
  <si>
    <t>Renovuotų daugiabučių namų skaičius</t>
  </si>
  <si>
    <t>Remontuojamų savivaldybės biudžetinių įstaigų dalis nuo biudžetinių įstaigų skaičiaus</t>
  </si>
  <si>
    <t>Paaiškinumas</t>
  </si>
  <si>
    <t>Vertinimo kriterijaus kodas</t>
  </si>
  <si>
    <t>Vykdytojas</t>
  </si>
  <si>
    <t>Elektobusų skaičius mieste</t>
  </si>
  <si>
    <t>P-10-01-01-08</t>
  </si>
  <si>
    <t>0.5</t>
  </si>
  <si>
    <t>0.8</t>
  </si>
  <si>
    <t>Įrengtų automobilių stovėjimo aikštelių skaičius</t>
  </si>
  <si>
    <t>R-10-02-06</t>
  </si>
  <si>
    <t>Visagino savivaldybės administracija</t>
  </si>
  <si>
    <t>Sporto centras</t>
  </si>
  <si>
    <t>Mokinių, organizuotai vežiojamų į (iš) mokyklas(os) (iš/į kaimo vietovių), skaičius</t>
  </si>
  <si>
    <t xml:space="preserve">Priimtų naujai inkubuojamų įmonių skaičius (VšĮ IAE regiono verslo inkubatorius) </t>
  </si>
  <si>
    <t>02.01. Uždavinys. Didinti vaikų ir jaunimo socioedukacinių veiklų, socialiai prasmingo užimtumo, saviraiškos bei švietimo pagalbos įvairovę ir prieinamumą</t>
  </si>
  <si>
    <t>08 Visagino savivaldybės aplinkos apsaugos programa</t>
  </si>
  <si>
    <t>Dalyvavusių renginiuose neįgaliems skaičius</t>
  </si>
  <si>
    <t>P-03-01-02-07</t>
  </si>
  <si>
    <t>P-03-01-02-08</t>
  </si>
  <si>
    <t>14 000</t>
  </si>
  <si>
    <t>Pastatų, kuriuose įrengti elektros skaitikliai, skaičius</t>
  </si>
  <si>
    <t>P-10-03-01-03</t>
  </si>
  <si>
    <t xml:space="preserve">Projektai papildomai iš SB </t>
  </si>
  <si>
    <t xml:space="preserve">Liftų įrengimas </t>
  </si>
  <si>
    <t>Visagino savivaldybės viešųjų pastatų energijos efektyvumo didinimas (IV etapas)</t>
  </si>
  <si>
    <t>01 tikslas. Gerinti Visagino savivaldybės gyventojų sveikatos priežiūros kokybę, sveikatos priežiūros paslaugų prieinamumą</t>
  </si>
  <si>
    <t>P-08-01-01-01</t>
  </si>
  <si>
    <t>Antrinių žaliavų surinkimas</t>
  </si>
  <si>
    <t>P-08-01-01-02</t>
  </si>
  <si>
    <t>kiekis t</t>
  </si>
  <si>
    <t xml:space="preserve">01.01. Uždavinys.  Sudaryti sąlygas ugdyti vaikus ikimokyklinėse, bendrojo lavinimo ir neformalaus švietimo įstaigose pagal patvirtintas ugdymo </t>
  </si>
  <si>
    <t>Visagino miesto apšvietimo tinkluose suvartojamos elektros energijos kiekis</t>
  </si>
  <si>
    <t>P-06-02-01-04</t>
  </si>
  <si>
    <t>Įsigytų socialinių būstų skaičius</t>
  </si>
  <si>
    <t>P-01-02-04-02</t>
  </si>
  <si>
    <t>R-09-02-02</t>
  </si>
  <si>
    <t>Klientų, besinaudojančių mokomomis Visagino rekreacijos paslaugų centro paslaugomis, skaičius</t>
  </si>
  <si>
    <t>7 000</t>
  </si>
  <si>
    <t>Inžinerinių paviršinių nuotekų surinkimo ir šalinimo tinklų rekonstravimas Visagino g. atkarpoje nuo Parko iki Vilties g.</t>
  </si>
  <si>
    <t>ne daugiau 600 tonų (ne daugiau 26 kg vienam gyventojui)</t>
  </si>
  <si>
    <t>R-06-01-05</t>
  </si>
  <si>
    <t>R-06-01-06</t>
  </si>
  <si>
    <t>R-10-01-02</t>
  </si>
  <si>
    <t>R-10-02-04</t>
  </si>
  <si>
    <t>Panaudotos rezervo lėšos</t>
  </si>
  <si>
    <t>P-01-01-04-01</t>
  </si>
  <si>
    <t>01.05. Uždavinys. Vykdyti korupcijos prevencijos darbus</t>
  </si>
  <si>
    <t>Visagino miesto pravažiavimų paprastojo remonto darbai (KD)</t>
  </si>
  <si>
    <t>P-10-01-01-06</t>
  </si>
  <si>
    <t>Renovuotų/įrengtų dviračių takų ilgis</t>
  </si>
  <si>
    <t>Suaugusiųjų, besimokančių pagal neformaliojo švietimo programas, skaičius</t>
  </si>
  <si>
    <t>Vadovėliams ir mokymo priemonėms įsigyti panaudotų MK lėšų dalis nuo apskaičiuotų pagal MK metodiką</t>
  </si>
  <si>
    <t>Pedagogų kvalifikacijai tobulinti panaudotų MK lėšų dalis nuo apskaičiuotų pagal MK metodiką</t>
  </si>
  <si>
    <t>Kvalifikacijos tobulinimo VŠPT renginiuose dalyvavusių Visagino pedagogų skaičius</t>
  </si>
  <si>
    <t>VŠPT specialistų suteiktų konsultacijų skaičius per metus</t>
  </si>
  <si>
    <t> 780</t>
  </si>
  <si>
    <t>190 </t>
  </si>
  <si>
    <t>890 </t>
  </si>
  <si>
    <t> 210</t>
  </si>
  <si>
    <t> 2300</t>
  </si>
  <si>
    <t> 90</t>
  </si>
  <si>
    <t>30 </t>
  </si>
  <si>
    <t>100 </t>
  </si>
  <si>
    <t>110 </t>
  </si>
  <si>
    <t> 30</t>
  </si>
  <si>
    <t> 50</t>
  </si>
  <si>
    <t> 100</t>
  </si>
  <si>
    <t> 1500</t>
  </si>
  <si>
    <t>Mokinių, dalyvavusių šalies ir savivaldybės etapuose patvirtintų olimpiadų, konkursų, varžybų skaičius ir nugalėtojų santykis</t>
  </si>
  <si>
    <t>Atestuotų mokyklų vadovų dalis. Iš jų:</t>
  </si>
  <si>
    <t>- suteikta trečioji vadybinė kategorija</t>
  </si>
  <si>
    <t>- suteikta antroji vadybinė kategorija</t>
  </si>
  <si>
    <t>- suteikta pirmoji vadybinė kategorija</t>
  </si>
  <si>
    <t>Mokyklose dirbančių atestuotų mokytojų ir pagalbos mokiniui specialistų dalis. Iš jų:</t>
  </si>
  <si>
    <t>- suteikta mokytojo kvalifikacinė kategorija</t>
  </si>
  <si>
    <t>- suteikta vyresniojo mokytojo kvalifikacinė kategorija</t>
  </si>
  <si>
    <t>- suteikta metodininko kvalifikacinė kategorija</t>
  </si>
  <si>
    <t>Pagal Mokytojų ir pagalbos mokiniui specialistų (išskyrus psichologus) atestacijos nuostatų  IX skyrių įvykdytų peratestavimų skaičius</t>
  </si>
  <si>
    <t>Mokyklų įgyvendinamų projektų, finansuojamų iš nacionalinių arba tarptautinių fondų, skaičius</t>
  </si>
  <si>
    <t>1200 </t>
  </si>
  <si>
    <t>10 </t>
  </si>
  <si>
    <t> 9</t>
  </si>
  <si>
    <t>99 </t>
  </si>
  <si>
    <t>97 </t>
  </si>
  <si>
    <t> 51</t>
  </si>
  <si>
    <t> 159</t>
  </si>
  <si>
    <t> 5</t>
  </si>
  <si>
    <t>suteikta eksperto kvalifikacinė klasė</t>
  </si>
  <si>
    <t xml:space="preserve">Mokinių, dalyvavusių socializacijos projektuose, dalis nuo bendro mokinių skaičiaus                  </t>
  </si>
  <si>
    <t>Nacionalinių ir ES fondų lėšomis finansuotų ir kultūros įstaigų įgyvendintų projektų skaičius</t>
  </si>
  <si>
    <t>Kultūros įstaigų darbuotojų, kėlusių kvalifikaciją, dalis</t>
  </si>
  <si>
    <t>R-04-01-04</t>
  </si>
  <si>
    <t>VKC gautos lėšos už parduotus bilietus į renginius</t>
  </si>
  <si>
    <t>02.03. Uždavinys. Atnaujinti (rekonstruoti) Visagino viešuosius, ūkinius pastatus</t>
  </si>
  <si>
    <t>planas</t>
  </si>
  <si>
    <t>Mokymuose (seminaruose), kt. priemonėse dalyvavusių tarybos narių skaičius</t>
  </si>
  <si>
    <t>P-05-02-01-01</t>
  </si>
  <si>
    <t>Pirminė teisinė pagalba</t>
  </si>
  <si>
    <t xml:space="preserve">Vaikų, gaunančių vienkartines ir pastovias išmokas, skaičius </t>
  </si>
  <si>
    <t>Neįgaliesiems pritaikytų būstų procentas nuo esamo poreikio (paraiškų)</t>
  </si>
  <si>
    <t>P-06-01-03-04</t>
  </si>
  <si>
    <t>Išmokų gavėjų skaičius</t>
  </si>
  <si>
    <t>Organizacijų, kurių veikloje dalyvaujama, skaičius</t>
  </si>
  <si>
    <t>R-09-01-02</t>
  </si>
  <si>
    <t xml:space="preserve">Reprezentacinės išlaidos </t>
  </si>
  <si>
    <t>LSA nario mokestis</t>
  </si>
  <si>
    <t>Gerinti visuomenei teikiamų paslaugų kokybę, didinant jų atitiktį visuomenės poreikiams</t>
  </si>
  <si>
    <t>Aptarnautų gyvenamosios vietos deklaravimo klausimais asmenų skaičius</t>
  </si>
  <si>
    <t>Užregistruotų skundų lygių galimybių pažeidimo srityje skaičius</t>
  </si>
  <si>
    <t>Įdiegtų naujų informacinių technologijų sistemų skaičius</t>
  </si>
  <si>
    <t>Savivaldybės veiklos viešinimo veiklų (vietinės televizijos laidų, informacinių leidinių) skaičius:  * tiesioginių televizijų skaičius</t>
  </si>
  <si>
    <t>R-02-01-02</t>
  </si>
  <si>
    <t>Mokinių, kuriems padengtos kelionės išlaidos (bilietų) į (iš) mokyklas(os), skaičius</t>
  </si>
  <si>
    <t>Pateiktų paraiškų susisiekimo infrastruktūros rekonstrukcijos finansavimui gauti</t>
  </si>
  <si>
    <t>Įgyvendintų socialinių programų skaičius</t>
  </si>
  <si>
    <t>P-06-01-03-01</t>
  </si>
  <si>
    <t>Remiamų studentų skaičius</t>
  </si>
  <si>
    <t>P-01-02-04-03</t>
  </si>
  <si>
    <t>P-10-02-05-01</t>
  </si>
  <si>
    <t>ne daugiau 100 tonų (ne daugiau 3,5 kg vienam gyventojui)</t>
  </si>
  <si>
    <t>Gyventojų, dalyvaujančių sporto ir sveikatingumo renginiuose, dalis nuo savivavaldybės gyventijų</t>
  </si>
  <si>
    <t>Savivaldybės sporto varžybų ir sveikatingumo renginių dalyvių skaičius</t>
  </si>
  <si>
    <t>Miško teritorijų pavertimas kitomis naudmenomis (detaliųjų planų skaičius)</t>
  </si>
  <si>
    <t>P-09-02-02-04</t>
  </si>
  <si>
    <t>01 tikslas. Įgyvendinti bendruomenės iniciatyvas, užtikrinti gyvenamosios vietovės bendruomenės išrinktų atstovavų - seniūnaičių efektyvų darbą</t>
  </si>
  <si>
    <t>Gavusių paramą ūkio subjektų dalis nuo visų besikreipiančių paramos dėl daugiabučių namų savininkų (bedrijų) rėmimo, procentas</t>
  </si>
  <si>
    <t>Daugiabučių namų savininkų (bendrijų) rėmimui skirtų lėšų panaudojimas</t>
  </si>
  <si>
    <t>100,00 Lt/29,00 EUR</t>
  </si>
  <si>
    <t>egz.</t>
  </si>
  <si>
    <t>tūkst. Eur</t>
  </si>
  <si>
    <t>12</t>
  </si>
  <si>
    <t>Įvykdytų (įgyvendinamų) administracinės naštos mažinimo plano priemonių santykis nuo visų planuotų vykdyti</t>
  </si>
  <si>
    <t>02.03. Uždavinys. Organizuoti savivaldybės veiklą vadovaujantis šiuolaikiniais vadybos metodais</t>
  </si>
  <si>
    <t>P-01-02-03-01</t>
  </si>
  <si>
    <t>Valstybinės kalbos vartojimo  ir taisyklingumo kontrolė</t>
  </si>
  <si>
    <t>Civilinės būklės aktų registravimas</t>
  </si>
  <si>
    <t>Kelių eismo įvykių skaičiaus mažėjimas, palyginus su ankstesniais metais</t>
  </si>
  <si>
    <t>P-06-01-01-01</t>
  </si>
  <si>
    <t>Pagerėjęs Visagino savivaldybės indeksas</t>
  </si>
  <si>
    <t>E-01-02</t>
  </si>
  <si>
    <t>taip</t>
  </si>
  <si>
    <t>E-02-09</t>
  </si>
  <si>
    <t>VKC ir VVB organizuotų mėgėjų meno ir pramoginių renginių skaičius</t>
  </si>
  <si>
    <t>VKC ir VVB organizuotų edukacinių renginių skaičius</t>
  </si>
  <si>
    <t>VISAGINO SAVIVALDYBĖS 2017-2019 M. STRATEGINIO VEIKLOS PLANO VERTINIMO KRITERIJŲ SUVESTINĖ</t>
  </si>
  <si>
    <t>Parengtų (pakoreguotų) teritorijos planavimo dokumentų skaičius</t>
  </si>
  <si>
    <t>P-09-02-02-02</t>
  </si>
  <si>
    <t>ne daugiau 13 %</t>
  </si>
  <si>
    <t>ne daugiau 12 %</t>
  </si>
  <si>
    <t xml:space="preserve">Suteiktų konsultacijų (savivaldybės administracijos, VšĮ IAE regiono verslo inkubatorius) valandų skaičius </t>
  </si>
  <si>
    <t>R-09-01-03</t>
  </si>
  <si>
    <t>P-05-01-01-01</t>
  </si>
  <si>
    <t>Organizuota mokymų jaunimo organizacijų ir mokinių tarybų nariams ir dalyvauta juose, skaičius</t>
  </si>
  <si>
    <t>R-05-02-01</t>
  </si>
  <si>
    <t>R-05-02-02</t>
  </si>
  <si>
    <t xml:space="preserve">Socialinės paramos mokiniams administravimas </t>
  </si>
  <si>
    <t xml:space="preserve"> Visagino savivaldybės užimtumo didinimo programos administravimas</t>
  </si>
  <si>
    <t>Tarptautinio bendradarbiavimo plėtra</t>
  </si>
  <si>
    <t xml:space="preserve">2019 m. </t>
  </si>
  <si>
    <t xml:space="preserve">2020 m. </t>
  </si>
  <si>
    <t>Pateiktų audito išvadų ir ataskaitų skaičius</t>
  </si>
  <si>
    <t>Visagino savivaldybės užimtumo didinimo programos administravimo lėšų panaudojimas</t>
  </si>
  <si>
    <t>Asmenų, dalyvavusių užimtumo didinimo programoje, skaičius</t>
  </si>
  <si>
    <t>Viešojo aukciono būdu parduotų objektų skaičius</t>
  </si>
  <si>
    <t>Panaudotos administracijos direktoriaus rezervo lėšos esant poreikiui</t>
  </si>
  <si>
    <t>Įvykdytų ir visų planuotų vykdyti programos priemonių santykis</t>
  </si>
  <si>
    <t>Mokymuose korupcijos prevencijos srityje dalyvavusių asmenų skaičius</t>
  </si>
  <si>
    <t>Pasirašytų tarptautinio bendradarbaivimo sutarčių skaičius</t>
  </si>
  <si>
    <t>R-01-02-03</t>
  </si>
  <si>
    <t>Darbuotojų, kėlusių savo kvalifikaciją, skaičius</t>
  </si>
  <si>
    <t>02.02. Uždavinys. Gerinti visuomenei teikiamų paslaugų kokybę, didinant jų atitiktį visuomenės poreikiams</t>
  </si>
  <si>
    <t xml:space="preserve">Įvykdytų (įgyvendinamų) ir planuotų vykdyti administracinės naštos mažinimo plano priemonių santykis </t>
  </si>
  <si>
    <t>Savivaldybės veiklos viešinimo veiklų (vietinės televizijos laidų, informacinių leidinių) skaičius:</t>
  </si>
  <si>
    <t>* tiesioginių televizijos laidų skaičius</t>
  </si>
  <si>
    <t>* interneto svetainių, kuriose skelbiama informacija apie savivaldybės veiklą, skaičius</t>
  </si>
  <si>
    <t>* leidinio „V každyj dom“ numerių skaičius (per metus)</t>
  </si>
  <si>
    <t>Gyventojų, dalyvaujančių sporto ir sveikatingumo renginiuose, dalis nuo savivavaldybės gyventojų skaičiaus</t>
  </si>
  <si>
    <t>mažiau nei 1230</t>
  </si>
  <si>
    <t>Mokinių, sėkmingai išlaikiusių mokyklinius ir valstybinius brandos egzaminus, dalis nuo bendro laikiusiųjų mokyklinius ir valstybinius brandos egzaminus mokinių skaičiaus</t>
  </si>
  <si>
    <t>- suteikta eksperto kvalifikacinė klasė</t>
  </si>
  <si>
    <t>Mokinių, dalyvavusių socializacijos projektuose, dalis nuo bendro mokinių skaičiaus</t>
  </si>
  <si>
    <t>Įgyvendintų socializacijos projektų skaičius</t>
  </si>
  <si>
    <t>Savivaldybėje organizuotų sporto renginių skaičius</t>
  </si>
  <si>
    <t>Bendrakomandinė prizinė vieta tarp savivaldybių</t>
  </si>
  <si>
    <t>Organizuotų sporto renginių neįgaliesiems skaičius</t>
  </si>
  <si>
    <t>Dalyvavusių sporto renginiuose neįgaliems skaičius</t>
  </si>
  <si>
    <t>Klientų, besinaudojančių mokamomis Visagino rekreacijos paslaugų centro paslaugomis, skaičius</t>
  </si>
  <si>
    <t>Įstaigose organizuotų kultūros renginių skaičius</t>
  </si>
  <si>
    <t>Registruotų vartotojų skaičius (VVB)</t>
  </si>
  <si>
    <t>Mėgėjų meno kolektyvų, studijų dalyvių skaičius (VKC)</t>
  </si>
  <si>
    <t>02 tikslas. Įgyvendinti valstybinę kultūros politiką per kultūrinius renginius, valstybei, tautai, savivaldybei reikšmingų sukakčių ir datų minėjimus, įtraukiant į jos vyksmą kuo platesnę bendruomenės dalį</t>
  </si>
  <si>
    <t>VKC ir VVB organizuotų profesionalaus meno parodų skačius</t>
  </si>
  <si>
    <t>01 tikslas. Įgyvendinti bendruomenės iniciatyvas, užtikrinti gyvenamosios vietovės bendruomenės išrinktų atstovų – seniūnaičių efektyvų darbą</t>
  </si>
  <si>
    <t>Organizuotų mokymų jaunimo organizacijų ir mokinių tarybų nariams ir dalyvių skaičius</t>
  </si>
  <si>
    <t>Mokymuose (seminaruose), kt. priemonėse dalyvavusių jaunimo tarybos narių skaičius</t>
  </si>
  <si>
    <t>Gavusių paramą ūkio subjektų dalis nuo visų besikreipiančių paramos dėl daugiabučių namų savininkų (bendrijų) rėmimo</t>
  </si>
  <si>
    <t>Įsteigtų naujų bendrijų skaičius</t>
  </si>
  <si>
    <t>Organizuota renginių gyventojų švietimo priešgaisrinės saugos klausimais</t>
  </si>
  <si>
    <t>P-05-03-01-03</t>
  </si>
  <si>
    <t>03.02. Uždavinys. Remti daugiabučių namų savininkus (bendrijas)</t>
  </si>
  <si>
    <t>Įgyvendintų energiją taupančių priemonių, namų techninių defektų, kurie kelia grėsmę namo ar atskirų jo konstrukcijų stabilumui ir (ar) žmonių saugumui, pašalinimo (remonto) darbų, skaičius</t>
  </si>
  <si>
    <t>Rizikos šeimų vaikų, gaunančių socialines paslaugas, skaičius</t>
  </si>
  <si>
    <t>Vaikų, gaunančių vienkartines ir pastovias išmokas, skaičius</t>
  </si>
  <si>
    <t>Asmenų, gavusių socialines pašalpas, skaičius</t>
  </si>
  <si>
    <t>Neįgaliesiems pritaikytų būstų dalis nuo esamo poreikio (paraiškų)</t>
  </si>
  <si>
    <t>Globojančių vaikus šeimų, gavusių paramą, skaičius</t>
  </si>
  <si>
    <t>Socialinių būstų, kuriuose atliktas remontas, skaičius</t>
  </si>
  <si>
    <t>Bendrabučio tipo pastato, esančios Kosmoso g. 28, Visagine, patalpos pritaikytos socialinam būstui įrengti (naujai įrengtų socialinių būstų skaičius)</t>
  </si>
  <si>
    <t>Įkurtų Savarankiško gyvenimo namų Visagine skaičius</t>
  </si>
  <si>
    <t>Vaiko teisių pažeidimų prevencijos įgyvendinimo priemonių skaičius</t>
  </si>
  <si>
    <t>Įsteigtas Visagino savivaldybės visuomenės sveikatos biuras</t>
  </si>
  <si>
    <t>Organizuotų įvairių visuomenės sveikatingumo stiprinimo skatinimo renginių skaičius</t>
  </si>
  <si>
    <t>Suteiktų konsultacijų skaičius (teikia visuomenės sveikatos biuras)</t>
  </si>
  <si>
    <t>Mokinių iki 18 metų, pateikusių profilaktinio sveikatos patikrinimo pažymą, dalis</t>
  </si>
  <si>
    <t>Įgyvendinta projektų vaikų sveikos gyvensenos skatinimo srityje</t>
  </si>
  <si>
    <t>P-07-01-02-06</t>
  </si>
  <si>
    <t>Asmenų, dalyvaujančių darbo saugos mokymose, skaičius</t>
  </si>
  <si>
    <t>Organizuotas privalamasis darbuotojų sveikatos tikrinimas (Visagino savivaldybės administracijoje), darbuotojų skaičius</t>
  </si>
  <si>
    <t>Darbo vietų, kurioms atliktas rizikos vertinimas, skaičius</t>
  </si>
  <si>
    <t>ne daugiau kaip 550 tonų (ne daugiau kaip 28 kg vienam gyventojui)</t>
  </si>
  <si>
    <t>Kelių eismo įvykių skaičiaus mažėjimas, palyginti su ankstesniais metais</t>
  </si>
  <si>
    <t>Įgyvendintų/įgyvendinamų investicinių projektų, finansuojamų iš ES ir kitų fondų paramos, skaičius</t>
  </si>
  <si>
    <t>Išduotų leidimų kirsti, pertvarkyti ar genėti skaičius</t>
  </si>
  <si>
    <t>Panaudotos lėšos už paviršinių nuotekų nuotakyno sistemos tvarkymą</t>
  </si>
  <si>
    <t>Verslumo lygis (veikiančių SVV įmonių skaičius, tenkantis 1000 gyventojų)</t>
  </si>
  <si>
    <t xml:space="preserve">Gavusių paramą ūkio subjektų dalis nuo visų besikreipiančių paramos iš SVV plėtros skatinimo priemonės </t>
  </si>
  <si>
    <t>Priimtų naujai inkubuojamų įmonių skaičius (VšĮ Ignalinos atominės elektrinės regiono verslo ir turizmo informacijos centras)</t>
  </si>
  <si>
    <t>01.01. Uždavinys. Sudaryti kuo palankesnes sąlygas pradėti ir plėtoti verslą, skatinti jaunimo verslumą bei didinti gyventojų užimtumą</t>
  </si>
  <si>
    <t>Suteiktų konsultacijų (VšĮ Ignalinos atominės elektrinės regiono verslo ir turizmo informacijos centras) valandų skaičius</t>
  </si>
  <si>
    <t>Organizuotų renginių jaunimo verslumui skatinti skaičius</t>
  </si>
  <si>
    <t>Įgyvendintų gyventojų užimtumo programų skaičius</t>
  </si>
  <si>
    <t>Materialinės investicijos, tenkančios vienam gyventojui</t>
  </si>
  <si>
    <t>Materialinės investicijos to meto kainomis, tenkančios Visagino savivaldybei</t>
  </si>
  <si>
    <t>Parengtų investicinių projektų ir kitų būtinų dokumentų projektų finansavimui gauti skaičius</t>
  </si>
  <si>
    <t>02.02. Uždavinys. Kurti aplinką, kuri sąlygotų investicijų pritraukimą</t>
  </si>
  <si>
    <t>Parengtų žemės sklypų planų ir/ar kadastrinių matavimų skaičius</t>
  </si>
  <si>
    <t>Investuotojų poreikiams pritaikytų programų santykis proc. nuo visų vykdomų programų (Visagino technologijos ir verslo profesinio mokymo centras)</t>
  </si>
  <si>
    <t>02.03. Uždavinys. Sudaryti sąlygas sukurti darbo vietas aukštos pridėtinės vertės (inovatyviai) pramonei ir verslui vystyti Visagine, plėtojant jį kaip šalies Energetikos kompetencijų centrą</t>
  </si>
  <si>
    <t>Dalyvauta turizmui vystyti skirtuose renginiuose, skaičius</t>
  </si>
  <si>
    <t>Pateiktų paraiškų susisiekimo infrastruktūros rekonstrukcijos finansavimui gauti skaičius</t>
  </si>
  <si>
    <t>Vietinio reguliaraus susisiekimo maršrutuose transporto lengvatomis pasinaudojusių keleivių skaičius</t>
  </si>
  <si>
    <t>Mokinių, kuriems padengtos kelionės (bilietų) išlaidos į (iš) mokyklas(os), skaičius</t>
  </si>
  <si>
    <t>Visagino miesto pravažiuojamųjų kelių paprastojo remonto darbai (KD)</t>
  </si>
  <si>
    <t>Rekonstruotos paviršinių (lietaus) nuotekų nuotakyno dalies (kolektoriaus) ilgis (724 m), Visagino g. atkarpos rekonstrukcija</t>
  </si>
  <si>
    <t>Įrengtų elektromobilių greitojo įkrovimo prieigų skaičius</t>
  </si>
  <si>
    <t>Visagino miesto centralizuoto šildymo sistema pertvarkyta į uždarąją</t>
  </si>
  <si>
    <t>Panaudotos Valstybės investicijų programos vykdomų projektų lėšos (10 programoje)</t>
  </si>
  <si>
    <t>Įgyvendintų darnaus judumo Visagino mieste plano priemonių skaičius</t>
  </si>
  <si>
    <t>Vykdomų Valstybės investicijų programos projektų skaičius (10 programoje)</t>
  </si>
  <si>
    <t>02.04. Uždavinys. Renovuoti ir įrengti dviračių ir pėsčiųjų takus, automobilių stovėjimo, sporto ir laisvalaikio aikšteles</t>
  </si>
  <si>
    <t>02.06. Uždavinys. Vykdyti Visagino miesto energinio efektyvumo didinimo daugiabučiuose namuose programą „Visagino enervizija“</t>
  </si>
  <si>
    <t>Pėsčiųjų perėjų, kuriose įrengtas kryptinis apšvietimas, skaičius</t>
  </si>
  <si>
    <t>Naujų objektų, sukurtų projektų įgyvendinimo metu, prijungtų prie AB ESO elektros skirstomųjų tinklų, skaičius</t>
  </si>
  <si>
    <t>P-10-03-01-05</t>
  </si>
  <si>
    <t>01.01. Uždavinys.  Sudaryti sąlygas ugdyti vaikus ikimokyklinėse, bendrojo lavinimo ir neformalaus švietimo įstaigose pagal patvirtintas ugdymo programas, teikti pedagoginę, psichologinę, metodinę, aprūpinimo transportu ir kitą pagalbą mokiniams, mokytojams ir mokykloms</t>
  </si>
  <si>
    <t>VISAGINO SAVIVALDYBĖS 2019-2021 M. STRATEGINIO VEIKLOS PLANO VERTINIMO KRITERIJŲ SUVESTINĖ</t>
  </si>
  <si>
    <t xml:space="preserve">2021 m. </t>
  </si>
  <si>
    <t>Informuoti visuomenę apie savivaldybės veiklą ir formuoti teigiamą savivaldybės įvaizdį, plėtoti dalykinius santykius ir ryšius su tarptautinėmis ir vietinėmis institucijomis ir organizacijomis</t>
  </si>
  <si>
    <t>Strateginio planavimo proceso savivaldybėje organizavimas</t>
  </si>
  <si>
    <t>Savivaldybės erdvinių duomenų rinkinio tvarkymo funkcijos atlikimas</t>
  </si>
  <si>
    <t>Viešojo aukciono būdu parduodamų objektų dokumentų parengimo išlaidos</t>
  </si>
  <si>
    <t>Projekto „Gerinti sąlygas ugdyti fiziškai aktyvią visuomenę, remontuojant, atnaujinant (modernizuojant) ir (arba) rekonstruojant esamų sporto bazių infrastruktūrą Visagino savivaldybėje" įgyvendinimas</t>
  </si>
  <si>
    <t xml:space="preserve">Korupcijos prevencijos darbams bei antikorupciniam visuomenės švietimui </t>
  </si>
  <si>
    <t>Automobilių stovėjimo aikštelių viešosiose teritorijose įrengimas</t>
  </si>
  <si>
    <t>Nekilnojamojo turto kadastriniams matavimams, turto vertinimui bei teisinei registracijai atlikti</t>
  </si>
  <si>
    <t>Duomenų teikimas Suteiktos valstybės pagalbos ir nereikšmingos pagalbos registrui</t>
  </si>
  <si>
    <t>Gyvenamosios vietos deklaravimo duomenų ir gyvenamosios vietos nedeklaravusių asmenų apskaitos duomenų tvarkymas</t>
  </si>
  <si>
    <t>Socialinėms paslaugoms (socialinei globai asmenims su sunkia negalia) administruoti</t>
  </si>
  <si>
    <t>Koordinuotai teikiamų paslaugų vaikams nuo gimimo iki 18 metų (turintiems didelių ir labai didelių specialiųjų ugdymosi poreikių – iki 21 metų) ir vaiko atstovams koordinavimas</t>
  </si>
  <si>
    <t>Savivaldybės nekilnojamojo turto išlaikymas ir administravimas</t>
  </si>
  <si>
    <t>Planuoti ir grąžinti dotaciją, skirtą savivaldybės biudžetui</t>
  </si>
  <si>
    <t>KT</t>
  </si>
  <si>
    <t>Asmens duomenų apsaugos, civilinės atsakomybės funkcijų vykdymas</t>
  </si>
  <si>
    <t>Paskolų grąžinimas, palūkanų ir banko paslaugų mokėjimas</t>
  </si>
  <si>
    <t>Dalyvauti rengiant ir vykdant mobilizaciją, demobilizaciją, priimančiosios šalies paramą</t>
  </si>
  <si>
    <t xml:space="preserve">Civilinės saugos administravimas, iš jų  pasirengimas Astravo atominės elektrinės branduolinei avarijai </t>
  </si>
  <si>
    <t>SSPP tikslai ir uždaviniai</t>
  </si>
  <si>
    <t>Stebėsenos rodiklis (matavimo vnt.)</t>
  </si>
  <si>
    <t>Siektinos stebėsenos rodiklio reikšmės</t>
  </si>
  <si>
    <t>Eil. Nr.</t>
  </si>
  <si>
    <t>Programos kodas ir pavadinimas</t>
  </si>
  <si>
    <t>1. Savivaldybės biudžetas (įskaitant skolintas lėšas)</t>
  </si>
  <si>
    <t>Iš jo:</t>
  </si>
  <si>
    <t>1.2. Lietuvos Respublikos valstybės biudžeto dotacijos</t>
  </si>
  <si>
    <t>1.3. Pajamų įmokos ir kitos pajamos</t>
  </si>
  <si>
    <t>1.5. Skolintos lėšos</t>
  </si>
  <si>
    <t>1.6. Ankstesnių metų likučiai</t>
  </si>
  <si>
    <t>2. Kiti šaltiniai (Europos Sąjungos finansinė parama projektams įgyvendinti ir kitos teisėtai gautos lėšos, nurodant atskirus šaltinius)</t>
  </si>
  <si>
    <t>Asignavimų ir kitų lėšų pokytis, palyginti su ankstesnių metų patvirtintų asignavimų ir kitų lėšų planu</t>
  </si>
  <si>
    <t>Programos uždavinio, priemonės kodas ir požymis</t>
  </si>
  <si>
    <t>Siektinos stebėsenos rodiklių reikšmės</t>
  </si>
  <si>
    <t>Savivaldybės strateginio plėtros plano rodiklis</t>
  </si>
  <si>
    <t>Rodiklio pavadinimas, matavimo vnt.</t>
  </si>
  <si>
    <t>1.</t>
  </si>
  <si>
    <t>Ugdytinių skaičius</t>
  </si>
  <si>
    <t>Priemonių įgyvendinimas pagal planuotus terminus, proc.</t>
  </si>
  <si>
    <t>2023 m. priemonės įgyvendintos 100 proc.</t>
  </si>
  <si>
    <t>Dalyvavusių ugdytinių skaičius</t>
  </si>
  <si>
    <t>Sporto šakų skaičius</t>
  </si>
  <si>
    <t>Finansuotų ir įgyvendintų programų skaičius</t>
  </si>
  <si>
    <t>Finansuotų ir įgyvendintų projektų (VB, ES fondų, programų lėšomis) skaičius</t>
  </si>
  <si>
    <t>Pritrauktų lėšų procentinis santykis su SB skiriamais asignavimais</t>
  </si>
  <si>
    <t>7 proc.</t>
  </si>
  <si>
    <t>8 proc.</t>
  </si>
  <si>
    <t>Už teikiamas paslaugas gautų lėšų procentinis santykis su SB skiriamais asignavimais</t>
  </si>
  <si>
    <t>5 proc.</t>
  </si>
  <si>
    <t>Pradėtų teikti naujų mokamų paslaugų skaičius</t>
  </si>
  <si>
    <t>Sukurtos svetainės struktūra ir turinys atitinka reikalavimus proc.</t>
  </si>
  <si>
    <t>90 proc.</t>
  </si>
  <si>
    <t>100 proc.</t>
  </si>
  <si>
    <t>Parengtų ir paskelbtų informacinių pranešimų, straipsnių interneto svetainėje skaičius</t>
  </si>
  <si>
    <t>Renginių skaičius</t>
  </si>
  <si>
    <t>Sportininkų skaičius</t>
  </si>
  <si>
    <t>Įgyvendintų iniciatyvų skaičius</t>
  </si>
  <si>
    <t xml:space="preserve">5 proc. </t>
  </si>
  <si>
    <t xml:space="preserve">15 proc. </t>
  </si>
  <si>
    <t xml:space="preserve">70 proc. </t>
  </si>
  <si>
    <t xml:space="preserve">100 proc. </t>
  </si>
  <si>
    <t>Komandų skaičius</t>
  </si>
  <si>
    <t>Sportininkų, dalyvavusių varžybose, skaičius</t>
  </si>
  <si>
    <t>&gt;50</t>
  </si>
  <si>
    <t>Pateiktų projektų (VB, ES fondų, programų lėšomis) skaičius</t>
  </si>
  <si>
    <t xml:space="preserve">Veiklose dalyvavusių oficialiai JRD registruotų savanorių skaičius, vnt. </t>
  </si>
  <si>
    <t>3 proc.</t>
  </si>
  <si>
    <t>0,5 proc.</t>
  </si>
  <si>
    <t>Organizuotų renginių skaičius</t>
  </si>
  <si>
    <t>VšĮ Visagino ekonomikos plėtros agentūra</t>
  </si>
  <si>
    <t>1.1.</t>
  </si>
  <si>
    <t>1.2.</t>
  </si>
  <si>
    <t>Naujų gydytojų pritraukimas ir įdarbinimas ne mažiau nei 1 gydytoją per metus</t>
  </si>
  <si>
    <t>2024 metai</t>
  </si>
  <si>
    <t>2025 metai</t>
  </si>
  <si>
    <t>Šilumos tiekimo tinklų rekonstravimas, tinklų ilgis km</t>
  </si>
  <si>
    <t>Biokuro vandens šildymo katilo kuro padavimo transporterio remontas, vnt.</t>
  </si>
  <si>
    <t>Geriamojo vandens tiekimo tinklų rekonstravimas, tinklų ilgis km</t>
  </si>
  <si>
    <t>Įrangos ir įrankių įsigijimas Vandenvietės ir valymo įrangos baro veiklai užtikrinti, kompl.</t>
  </si>
  <si>
    <t>Nuotekų surinkimo tinklų rekonstravimas, tinklų ilgis km</t>
  </si>
  <si>
    <t>Nuotekų ir paviršinio vandens tyrimų laboratorijos akreditavimas, vnt.</t>
  </si>
  <si>
    <t>Apskaitos prietaisų su nuotoliniu duomenų nuskaitymu sistemų įrengimas, daugiabučių namų skaičius (vnt.)</t>
  </si>
  <si>
    <t>IP telefonijos įdiegimas, vnt.</t>
  </si>
  <si>
    <t>Dalyvavusių mokymuose darbuotojų skaičius, asm.</t>
  </si>
  <si>
    <t>2.</t>
  </si>
  <si>
    <t>3.</t>
  </si>
  <si>
    <t>5.</t>
  </si>
  <si>
    <t>6.</t>
  </si>
  <si>
    <t>7.</t>
  </si>
  <si>
    <t>8.</t>
  </si>
  <si>
    <t xml:space="preserve">
Sėkmingai plėtoti ir įgyvendinti savivaldos teisę, užtikrinti subalansuotą plėtrą bei kokybiškai vykdyti viešojo administravimo ir viešųjų paslaugų teikimo funkcijas, tenkinant Visagino savivaldybės bendruomenės viešuosius poreikius ir interesus</t>
  </si>
  <si>
    <t>2026 metai</t>
  </si>
  <si>
    <t>E-1.1-1 Dirbančiųjų skaičius (tūkst. asm.)</t>
  </si>
  <si>
    <t>Siekiama stebėsenos rodiklio reikšmė (2030)</t>
  </si>
  <si>
    <t>Faktinė stebėsenos rodiklio reikšmė (2023)</t>
  </si>
  <si>
    <t>Materialinės investicijos, tenkančios 1-am gyventojui (Eur)</t>
  </si>
  <si>
    <t>Pritraukta naujų tiesioginių užsienio investicijų, tenkančių 1-am gyventojui (Eur)</t>
  </si>
  <si>
    <t>1116 Eur (2020)</t>
  </si>
  <si>
    <t>571 Eur  (2020)</t>
  </si>
  <si>
    <t>Ne mažiau kaip 1200 Eur (2030 )</t>
  </si>
  <si>
    <t>800 Eur (2030 m)</t>
  </si>
  <si>
    <t>Verslumo lygis (veikiančių SVV įmonių skaičius, tenkantis 1000 gyv., koef.)</t>
  </si>
  <si>
    <t>Gyventojų aktyvumas, vykdant individualią veiklą (gyventojų, besiverčiančių veikla pagal individualios veiklos pažymą ir verslo liudijimus, skaičius, tenkantis 1000-iui gyv., koef.)</t>
  </si>
  <si>
    <t>Sukurti ir įgyvendinti verslumo skatinimo programą</t>
  </si>
  <si>
    <t>Bendradarbystės centro „Spiečius“ narių skaičius</t>
  </si>
  <si>
    <t>Ne mažiau kaip 20 (2030)</t>
  </si>
  <si>
    <t>1 (2024)</t>
  </si>
  <si>
    <t>100 (2030)</t>
  </si>
  <si>
    <t xml:space="preserve">15,5 (2022) </t>
  </si>
  <si>
    <t>1,52 (2022)</t>
  </si>
  <si>
    <t>0 (2022)</t>
  </si>
  <si>
    <t>15 (2022)</t>
  </si>
  <si>
    <t>Strateginėse verslo kryptyse veikiančių verslo subjektų skaičius</t>
  </si>
  <si>
    <t>1.1.-1</t>
  </si>
  <si>
    <t>8 (2030)</t>
  </si>
  <si>
    <t xml:space="preserve">0 (2022) </t>
  </si>
  <si>
    <t>5 (2030)</t>
  </si>
  <si>
    <t>1.1.-3</t>
  </si>
  <si>
    <t xml:space="preserve">Sukurti tinkamas sąlygas strateginėms verslo kryptims plėtotis Visagino savivaldybėje </t>
  </si>
  <si>
    <t>2 (2022)</t>
  </si>
  <si>
    <t>4 (2030)</t>
  </si>
  <si>
    <t>Nakvynių skaičius apgyvendinimo įstaigose, vnt.</t>
  </si>
  <si>
    <t>506 (2022)</t>
  </si>
  <si>
    <t>700 (2030)</t>
  </si>
  <si>
    <t>1.2.-1</t>
  </si>
  <si>
    <t>Turistų, apsilankiusių VTPC, dalis sezono metu (gegužės–rugpjūčio mėn.), palyginti su bendruoju metiniu turistų skaičiumi (proc.)</t>
  </si>
  <si>
    <t>72 (2022)</t>
  </si>
  <si>
    <t>50 (2030)</t>
  </si>
  <si>
    <t>10 (2030)</t>
  </si>
  <si>
    <t>3 (2030)</t>
  </si>
  <si>
    <t>Suformuotų turistų traukos objektų skaičius (vnt.)</t>
  </si>
  <si>
    <t>1.2.-3</t>
  </si>
  <si>
    <t>Asmenų, dalyvavusių perduodant Visagino daugiataučio kultūros paveldo ir tradicijų per turizmo ir edukacines veiklas, skaičius</t>
  </si>
  <si>
    <t>Visagino savivaldybės bendrojo ugdymo mokyklų tinklo pertvarkos 2022–2026 metų bendrojo plano kokybinių pokyčių / priemonių  įgyvendinimas, proc.</t>
  </si>
  <si>
    <t>98 (2026)</t>
  </si>
  <si>
    <t>2.1.-1</t>
  </si>
  <si>
    <t>Padidinti ugdymo paslaugų prieinamumą ir įtrauktį kuriant naujas ikimokyklinio ugdymo vietas ir efektyviai veikiančių mokyklų infrastruktūrą pritaikant vaikams su negalia bei bendriesiems ugdymo poreikiams gerinti</t>
  </si>
  <si>
    <t>Ikimokyklinio ugdymo įstaigų talpumas (vietų skaičius), vnt.</t>
  </si>
  <si>
    <t>895 (2022)</t>
  </si>
  <si>
    <t>983 (2027)</t>
  </si>
  <si>
    <t>Mokyklų, kuriose buvo įdiegtos universalaus dizaino ir kitos inžinerinės priemonės, aplinką pritaikant asmenims, turintiems negalią, dalis nuo visų mokyklų</t>
  </si>
  <si>
    <t>40 (2023)</t>
  </si>
  <si>
    <t>2.1.-2</t>
  </si>
  <si>
    <t>Plėtoti įvairialypį švietimą vykdant visos dienos mokyklų veiklą</t>
  </si>
  <si>
    <t>Neformaliojo vaikų švietimo galimybėmis pasinaudojusių mokinių dalis (išskyrus ikimokykliniame ir priešmokykliniame ugdyme dalyvaujančius vaikus) (proc.)</t>
  </si>
  <si>
    <t>46,9  (2027)</t>
  </si>
  <si>
    <t>Stiprinti mokyklas įgalinant dirbti su įvairių galių ir gebėjimų mokiniais, kurie mokyklų pedagogų, mokymosi aplinkos padedami ir motyvuojami įveikia barjerus ir pasiekia maksimalų savo individualių galimybių mokymosi rezultatą</t>
  </si>
  <si>
    <t>3  (2030)</t>
  </si>
  <si>
    <t>2.1.-4</t>
  </si>
  <si>
    <t>Skatinti mokinių domėjimąsi gamtos mokslais, matematika, technologijomis ir kt. veiklomis, išbandant save įvairiose praktinėse-tiriamosiose veiklose</t>
  </si>
  <si>
    <t>Pasirašytų bendradarbiavimo sutarčių su verslo atstovais skaičius</t>
  </si>
  <si>
    <t>2.1.-5</t>
  </si>
  <si>
    <t>Skatinti kokybinę kaitą bei lyderystės raišką švietimo įstaigose išbandant / taikant inovatyvius mokymo(si) modelius, aktyviai dalyvaujant projektinėje veikloje</t>
  </si>
  <si>
    <t>1(2022)</t>
  </si>
  <si>
    <t>6 (2030)</t>
  </si>
  <si>
    <t>90 (2030)</t>
  </si>
  <si>
    <t>2.1.-6</t>
  </si>
  <si>
    <t>Siekti, kad visi turėtų lanksčių kvalifikacijos kėlimo ir persikvalifikavimo galimybių, atsižvelgiant į verslumo ir skaitmeninius įgūdžius, geriau numatyti pokyčius ir naujų įgūdžių reikalavimus, grindžiamus darbo rinkos poreikiais, sudaryti palankesnes sąlygas keisti profesinę veiklą ir skatinti profesinį judumą</t>
  </si>
  <si>
    <t>Asmenų, kurie dalyvavę mokymuose įgijo kompetenciją, dalis proc. nuo visų besimokančiųjų VTVPMC</t>
  </si>
  <si>
    <t>98 (2030)</t>
  </si>
  <si>
    <t>80 (2030)</t>
  </si>
  <si>
    <t>30 (2030)</t>
  </si>
  <si>
    <t>Sudaryti sąlygas visų amžiaus grupių ir galimybių visaginiečiams jų sveikai gyvensenai, fiziniam aktyvumui, sportavimui bei siekti, kad tai taptų savivaldybės bendruomenės gyvensenos dalimi</t>
  </si>
  <si>
    <t>Veikiančių atvirų sporto erdvių  skaičius (vnt.)</t>
  </si>
  <si>
    <t>10 (2022)</t>
  </si>
  <si>
    <t>21 (2030)</t>
  </si>
  <si>
    <t>2.2-1</t>
  </si>
  <si>
    <t>Didinti fizinio aktyvumo lygį visose savivaldybės gyventojų amžiaus grupėse, plėsti galimybes bendruomenės fiziniam aktyvumui ir sveikatinimo veikloms</t>
  </si>
  <si>
    <t>Sporto varžybose ir sveikatingumo renginiuose dalyvavusių asmenų  skaičius, vnt. per metus</t>
  </si>
  <si>
    <t>2466 (2021)</t>
  </si>
  <si>
    <t>2.2-2</t>
  </si>
  <si>
    <t>Vykdyti talentingų sportininkų atranką, sudaryti jiems tinkamas sąlygas meistriškumui didinti</t>
  </si>
  <si>
    <t>20 (2022)</t>
  </si>
  <si>
    <t>40 (2030)</t>
  </si>
  <si>
    <t>2.2-3</t>
  </si>
  <si>
    <t>Gerinti sporto ir fizinio aktyvumo specialistų kvalifikaciją ir pritraukti naujus specialistus, kurių kompetencijos reikalingos bendruomenės poreikiams tenkinti, sporto ir fizinio aktyvumo paslaugų plėtrai ir kokybės užtikrinimui</t>
  </si>
  <si>
    <t>Kvalifikaciją patobulinusių sportinio ugdymo specialistų, dirbančių Visagino savivaldybės įstaigose, skaičius (proc.)</t>
  </si>
  <si>
    <t>30 2022)</t>
  </si>
  <si>
    <t>2.2-4</t>
  </si>
  <si>
    <t>Didinti visuomenės informuotumą apie fizinio aktyvumo naudą ir vykdyti sporto informacijos sklaidą</t>
  </si>
  <si>
    <t>Informacinėmis priemonėmis pasiektų asmenų dalis proc. nuo visų gyventojų</t>
  </si>
  <si>
    <t>2.2-5</t>
  </si>
  <si>
    <t>Plėtoti ir atnaujinti sporto infrastruktūrą, aprūpinti poreikius atitinkančia įranga ir inventoriumi sudarant tinkamas sąlygas bendruomenės fiziniam aktyvumui, aukšto meistriškumo sportininkų rengimui bei varžybų nuo savivaldybės lygmens iki tarptautinių vykdymui</t>
  </si>
  <si>
    <t>Asmenų dalyvavusių aukšto lygio sporto varžybose dalis proc. nuo visų gyventojų</t>
  </si>
  <si>
    <t>Įgyvendinti valstybinę kultūros politiką ir formuoti regioninį identitetą, stiprinti pilietiškumą ir bendruomenės į(si)traukimą į kūrybines, kultūrines veiklas</t>
  </si>
  <si>
    <t>Gyventojų, bent kartą per mėnesį besilankančių viešuose kultūros renginiuose, dalis proc. nuo bendro gyventojų skaičiaus</t>
  </si>
  <si>
    <t>70 (2030)</t>
  </si>
  <si>
    <t>2.3.-1</t>
  </si>
  <si>
    <t>Formuoti Visagino, kaip daugiakultūrio miesto, atviro kultūrinėms inovacijoms ir patrauklaus profesionalaus meno sklaidai, laukiančio svečių, reputaciją</t>
  </si>
  <si>
    <t>Kultūros renginiuose apsilankiusių asmenų skaičius proc. nuo bendro gyventojų skaičiaus</t>
  </si>
  <si>
    <t>0  (2022)</t>
  </si>
  <si>
    <t>80  (2030)</t>
  </si>
  <si>
    <t>2.3.-2</t>
  </si>
  <si>
    <t>Visagino savivaldybėje sukurti palankiausiais regione sąlygas menininkų kūrybai ir kūrybiniams verslams vystytis</t>
  </si>
  <si>
    <t xml:space="preserve">Naujai susikūrusių kūrybinių verslų skaičius </t>
  </si>
  <si>
    <t>2.3.-3</t>
  </si>
  <si>
    <t>Plėtoti / tobulinti pagal kintančius bendruomenės poreikius kultūros infrastruktūrą bei užtikrinti kultūros, laisvalaikio, kūrybos erdvių prieinamumą bendruomenei ir kūrėjams</t>
  </si>
  <si>
    <t xml:space="preserve">Naujai įkurtų erdvių, kuriose skatinamos meniškos ir meninės veiklos, skaičius </t>
  </si>
  <si>
    <t>2.3.-4</t>
  </si>
  <si>
    <t>Sudaryti palaikančias ir motyvuojančias sąlygas etninės kultūros sklaidai, Dainų švenčių tradicijos tęstinumui, senųjų tradicijų, papročių populiarinimui, jų gyvybingumo puoselėjimui</t>
  </si>
  <si>
    <t>Asmenų, dalyvavusių etninės kultūros renginiuose, dalis proc. nuo visų savivaldybės gyventojų</t>
  </si>
  <si>
    <t>2.3.-5</t>
  </si>
  <si>
    <t>Stiprinti įstaigų partnerystę / tinklaveiką, plėtoti projektinę veiklą</t>
  </si>
  <si>
    <t>Asmenų, dalyvavusių kultūros ir švietimo bendradarbiavimo  veiklose, dalis proc. nuo visų savivaldybės gyventojų</t>
  </si>
  <si>
    <t>2.3.-6</t>
  </si>
  <si>
    <t>Ugdyti įvairiakalbę, kritiškai mąstančią Visagino bendruomenę, kurią jungia valstybinė kalba ir pagarba valstybei</t>
  </si>
  <si>
    <t>Gyventojų, dalyvavusių pilietinio ugdymo veiklose, dalis proc. nuo visų savivaldybės gyventojų</t>
  </si>
  <si>
    <t>Stiprinti ir puoselėti gyventojų sveikatą</t>
  </si>
  <si>
    <t>Vidutinė tikėtina gyvenimo trukmė (metais)</t>
  </si>
  <si>
    <t xml:space="preserve">76  (2020 m.)  </t>
  </si>
  <si>
    <t>78,3 (2030)</t>
  </si>
  <si>
    <t>2.4.-1</t>
  </si>
  <si>
    <t>Užtikrinti prieinamas aukštos kokybės sveikatos priežiūros paslaugas</t>
  </si>
  <si>
    <t>187,5 (2021)</t>
  </si>
  <si>
    <t>Mažėjantis</t>
  </si>
  <si>
    <t>2.4.-2</t>
  </si>
  <si>
    <t>Išplėsti su visuomenės sveikatos stiprinimu susijusias paslaugas</t>
  </si>
  <si>
    <t>Visuomenės sveikatos stiprinimo veiklose dalyvavusios tikslinės grupės dalis (proc.):</t>
  </si>
  <si>
    <t>Ikimokyklinio ir mokyklinio amžiaus vaikai (0–18 m.)</t>
  </si>
  <si>
    <t>50 (2021)</t>
  </si>
  <si>
    <t>12 (2021)</t>
  </si>
  <si>
    <t>0 (2030)</t>
  </si>
  <si>
    <t>Socialines paslaugas gavusių asmenų skaičius proc. nuo bendro gyventojų skaičiaus</t>
  </si>
  <si>
    <t>8 ( 2022)</t>
  </si>
  <si>
    <t>Ne mažiau  kaip  12 (2030)</t>
  </si>
  <si>
    <t>2.5-1</t>
  </si>
  <si>
    <t>Pagerinti  ir plėsti socialinių paslaugų kokybę ir prieinamumą bei sukurti jų plėtrai reikalingą  infrastruktūrą</t>
  </si>
  <si>
    <t>21 proc. (2021)</t>
  </si>
  <si>
    <t>Ne mažiau kaip 26 proc. (2030)</t>
  </si>
  <si>
    <t>Sudaryti galimybes jaunimui atvykti, dirbti ir gyventi Visagino savivaldybėje</t>
  </si>
  <si>
    <t xml:space="preserve">Jaunimo (14–29 metų amžiaus) dalis nuo bendro Visagino savivaldybės gyventojų skaičiaus (proc.) </t>
  </si>
  <si>
    <t xml:space="preserve">12,94 (2021)  </t>
  </si>
  <si>
    <t>13,5 (2030)</t>
  </si>
  <si>
    <t>2.6-1</t>
  </si>
  <si>
    <t>Pritaikyti viešąsias erdves jaunimo poreikiams</t>
  </si>
  <si>
    <t>Jaunimo poreikiams pritaikytų jaunimo erdvių skaičius (vnt.)</t>
  </si>
  <si>
    <t>2.6-2</t>
  </si>
  <si>
    <t>Sudaryti sąlygas jaunimo savirealizacijai</t>
  </si>
  <si>
    <t>Jaunuolių, turinčių Jaunimo savanoriškos tarnybos (JST) pažymėjimą, skaičius (per metus)</t>
  </si>
  <si>
    <t>4 (2022)</t>
  </si>
  <si>
    <t>Ne mažiau kaip 30 (2030)</t>
  </si>
  <si>
    <t>80 (2022)</t>
  </si>
  <si>
    <t xml:space="preserve">Gyventojų socialinio, pilietinio aktyvumo, dalyvavimo savanoriškoje, visuomeninėje veikloje, tarpusavio pasitikėjimo, bendruomenės socialinės atsakomybės ir įsitraukimo didinimas  </t>
  </si>
  <si>
    <t>2.7.-1</t>
  </si>
  <si>
    <t>Stiprinti nevyriausybines ir bendruomenines organizacijas, gerinti aplinką jų veiklai, remti pilietines iniciatyvas</t>
  </si>
  <si>
    <t xml:space="preserve">Veikiančių nevyriausybinių ir bendruomeninių organizacijų skaičius </t>
  </si>
  <si>
    <t>2.7.-2</t>
  </si>
  <si>
    <t>Įtraukti nevyriausybinį sektorių į viešųjų paslaugų teikimą, tinkamai pasinaudoti iš bendruomenės kylančiomis iniciatyvomis vietos plėtrai</t>
  </si>
  <si>
    <t>Savivaldybės viešųjų paslaugų, kurias teikia nevyriausybinės ir bendruomeninės organizacijos, dalis proc. nuo visų teikiamų paslaugų</t>
  </si>
  <si>
    <t>2.7.-3</t>
  </si>
  <si>
    <t>Sudaryti galimybes bendruomenei įsitraukti ir aktyviai dalyvauti sprendžiant jai aktualius klausimus</t>
  </si>
  <si>
    <t>Tobulinti viešojo valdymo sistemą, didinti jos efektyvumą ir atvirumą</t>
  </si>
  <si>
    <t>Ne mažiau kaip 55 (2030)</t>
  </si>
  <si>
    <t>2.8.-1</t>
  </si>
  <si>
    <t>Gerinti viešojo valdymo institucijų teikiamų paslaugų kokybę, didinti jų prieinamumą ir patrauklumą</t>
  </si>
  <si>
    <t>Gyventojų, per paskutinius 12 mėnesių dalyvavusių sprendžiant viešuosius vietos reikalus, dalis proc.</t>
  </si>
  <si>
    <t>30 (2022)</t>
  </si>
  <si>
    <t>Ne mažiau kaip 70 (2030)</t>
  </si>
  <si>
    <t>2.8.-2</t>
  </si>
  <si>
    <t>Kurti ir plėtoti saugią aplinką Visagino savivaldybėje</t>
  </si>
  <si>
    <t>Parengta ir įgyvendinta  Kompleksinės saugumo stiprinimo ir saugios savivaldybės plėtros programa, vnt.</t>
  </si>
  <si>
    <t xml:space="preserve">1/1 (2030) </t>
  </si>
  <si>
    <t xml:space="preserve">2.8.-3 </t>
  </si>
  <si>
    <t>Sustiprinti teigiamą Visagino savivaldybės  įvaizdį ir komunikaciją</t>
  </si>
  <si>
    <t>Savivaldybės išorinės komunikacijos lygis, auditorijos dydis (medijų paskyrų sekėjai, interneto svetainės naudotojai, naujienlaiškių prenumeratoriai ir kt.)</t>
  </si>
  <si>
    <t>„Facebook“ 3 486 tūkst. (2022)</t>
  </si>
  <si>
    <t>140 t (2022)</t>
  </si>
  <si>
    <t>3.1-1</t>
  </si>
  <si>
    <t>~8000 (2022)</t>
  </si>
  <si>
    <t>~19000 (2030)</t>
  </si>
  <si>
    <t>3.1-2</t>
  </si>
  <si>
    <t>10 (2021)</t>
  </si>
  <si>
    <t>3.1-3</t>
  </si>
  <si>
    <t>Pagerinti viešojo transporto paslaugų teikimą gyventojams</t>
  </si>
  <si>
    <t>Ne mažesnis kaip 2 proc. (2030)</t>
  </si>
  <si>
    <t>Skatinti tvarų miesto teritorijos vystymą</t>
  </si>
  <si>
    <t>Gyventojų skaičiaus metinis pokytis (pagal vidutinį metinį gyventojų skaičių) (proc.)</t>
  </si>
  <si>
    <t>19 707 (2022)</t>
  </si>
  <si>
    <t>Teigiamas, ne mažesnis kaip 1 proc. per metus</t>
  </si>
  <si>
    <t>3.2-1</t>
  </si>
  <si>
    <t>Plėsti, prižiūrėti ir modernizuoti teritorijas, įrengiant reikalingą infrastruktūrą</t>
  </si>
  <si>
    <t>Sutvarkyta / įrengta / atnaujinta teritorijų, ha</t>
  </si>
  <si>
    <t>3.2-2</t>
  </si>
  <si>
    <t xml:space="preserve">Skatinti kokybišką urbanistinį ir teritorijų planavimą  </t>
  </si>
  <si>
    <t>Pagal bendrojo plano sprendinius parengtų žemesnio lygio teritorijų planavimo dokumentų skaičius</t>
  </si>
  <si>
    <t xml:space="preserve">4 (2022) </t>
  </si>
  <si>
    <t>3.2-3</t>
  </si>
  <si>
    <t>Užtikrinti  kultūros paveldo objektų priežiūrą</t>
  </si>
  <si>
    <t xml:space="preserve">Visuomenei atvertų kultūros paveldo objektų skaičius </t>
  </si>
  <si>
    <t>Skatinti žaliąją savivaldybės plėtrą</t>
  </si>
  <si>
    <t>Teršalų, išmestų į aplinkos orą iš stacionarių taršos šaltinių,  tonos</t>
  </si>
  <si>
    <t>606,88 (2021)</t>
  </si>
  <si>
    <t>500 (2030)</t>
  </si>
  <si>
    <t>3.3.-1</t>
  </si>
  <si>
    <t>Užtikrinti tvarų kraštovaizdžio vystymą(si), išsaugant ekosistemas ir prisitaikant prie klimato kaitos</t>
  </si>
  <si>
    <t>21 (2022)</t>
  </si>
  <si>
    <t>Nemažėjantis (2030)</t>
  </si>
  <si>
    <t>3.3.-2</t>
  </si>
  <si>
    <t>Skatinti energijos taupymą, atsinaujinančių ir alternatyvių energijos išteklių naudojimą</t>
  </si>
  <si>
    <t>Atsinaujinančio kuro dalis centrinio šildymo sistemoje (proc.)</t>
  </si>
  <si>
    <t>84 (2022)</t>
  </si>
  <si>
    <t>Savivaldybės įstaigų ir įmonių, įdiegusių atsinaujinančių ir alternatyvių energijos išteklių priemones savo pastatuose, dalis (proc.)</t>
  </si>
  <si>
    <t>Atnaujinta (modernizuota) daugiabučių namų nuo bendro nerenovuotų daugiabučių namų skaičiaus dalis proc.</t>
  </si>
  <si>
    <t>3.3-3</t>
  </si>
  <si>
    <t>Modernizuoti miesto inžinerinę infrastruktūrą laikantis inovatyvumo ir ekologiškumo principų</t>
  </si>
  <si>
    <t>0,279 (2022)</t>
  </si>
  <si>
    <t>Ne mažiau kaip 2,390 (2030)</t>
  </si>
  <si>
    <t>Atnaujinti geriamojo vandens tiekimo tinklai, km</t>
  </si>
  <si>
    <t>0,978 (2022)</t>
  </si>
  <si>
    <t>Ne mažiau kaip 6,353 (2030)</t>
  </si>
  <si>
    <t>Atnaujinti nuotekų surinkimo tinklai, km</t>
  </si>
  <si>
    <t>Ne mažiau kaip 0,230 (2030)</t>
  </si>
  <si>
    <t>Ne mažiau kaip 4 (2030)</t>
  </si>
  <si>
    <t>3.3-4</t>
  </si>
  <si>
    <t>Sąvartynuose šalinamų atliekų dalis, palyginti su bendru komunalinių atliekų srautu (proc.)</t>
  </si>
  <si>
    <t>19,9  (2021)</t>
  </si>
  <si>
    <t>Perdirbta, pakartotinai ar kitaip panaudota (pvz., energijai gauti) dalis, palyginti su visomis surinktomis ir susidariusiomis atliekomis (proc.)</t>
  </si>
  <si>
    <t>62,2 (2021)</t>
  </si>
  <si>
    <t>77,0 (2030)</t>
  </si>
  <si>
    <t>3.3-5</t>
  </si>
  <si>
    <t>Stebimų aplinkos monitoringo objektų (pvz., oras, paviršinis vanduo, maudyklos, dirvožemis, triukšmas ir kt.) skaičius, vnt.</t>
  </si>
  <si>
    <t xml:space="preserve">2.1.-3 </t>
  </si>
  <si>
    <t xml:space="preserve">2.2. </t>
  </si>
  <si>
    <t xml:space="preserve">2.3. </t>
  </si>
  <si>
    <t xml:space="preserve">2.4. </t>
  </si>
  <si>
    <t>Didėjantis arba ne mažesnis kaip 80,0 proc. (2030</t>
  </si>
  <si>
    <t>Didėjantis arba ne mažesnis kaip 25 proc. (2030</t>
  </si>
  <si>
    <t>2.5.</t>
  </si>
  <si>
    <t xml:space="preserve">2.6. </t>
  </si>
  <si>
    <t>Pilietinės visuomenės ir privačiojo sektoriaus
subjektai, dalyvavę rengiant ir (ar) įgyvendinant miestui svarbių klausimų sprendimus, vnt.</t>
  </si>
  <si>
    <t>2.8.</t>
  </si>
  <si>
    <t xml:space="preserve">3.1. </t>
  </si>
  <si>
    <t>Šiltnamio efektą 
sukeliančių dujų kiekis (tonomis), tenkantis Visagino savivaldybės gyventojams</t>
  </si>
  <si>
    <t xml:space="preserve">Naujo arba modernizuoto 
viešojo transporto naudotojų skaičius per metus </t>
  </si>
  <si>
    <t>Didinti eismo saugumą ir 
gyventojų sąmoningumą darnaus judumo srityje</t>
  </si>
  <si>
    <t xml:space="preserve">Asmenų, pasinaudojusių naujai 
sukurtomis viešojo transporto paslaugomis, proc. nuo bendro gyventojų skaičiaus </t>
  </si>
  <si>
    <t xml:space="preserve">3.2. </t>
  </si>
  <si>
    <t>3.3</t>
  </si>
  <si>
    <t xml:space="preserve">Atnaujinti šilumos tinklai, km
</t>
  </si>
  <si>
    <t>Įdiegti žiedinės 
ekonomikos procesus</t>
  </si>
  <si>
    <t>Užtikrinti visapusišką 
aplinkos būklės stebėseną ir taršą ribojančių priemonių taikymą</t>
  </si>
  <si>
    <t>SSPP tikslų
 ir uždavinių 
kodas</t>
  </si>
  <si>
    <t xml:space="preserve"> Pagerinti investicijų pritraukimo ir verslo plėtros sąlygas</t>
  </si>
  <si>
    <t xml:space="preserve">1.1.-2 </t>
  </si>
  <si>
    <t xml:space="preserve"> Skatinti gyventojų verslumą ir ekonominį mobilumą</t>
  </si>
  <si>
    <t xml:space="preserve"> Didinti turistinį savivaldybės patrauklumą, teikiant viešąsias paslaugas bei plėtojant viešąją turizmo infrastruktūrą</t>
  </si>
  <si>
    <t xml:space="preserve"> Skatinti turizmo konkurencingumą, teikiant viešąsias ir verslo paslaugas bei vykdant aktyvią paslaugų rinkodarą</t>
  </si>
  <si>
    <t>1.2.-2</t>
  </si>
  <si>
    <t xml:space="preserve"> Visagino turizmo, gamtos ir kultūros objektų pritaikymas lankymui, modernizuojant viešąją turizmo infrastruktūrą</t>
  </si>
  <si>
    <t xml:space="preserve"> Visagino kaip monoindustrinio miesto urbanistikos, daugiataučio kultūros paveldo ir tradicijų perdavimas per turizmo ir edukacines veiklas</t>
  </si>
  <si>
    <t>2.1</t>
  </si>
  <si>
    <t xml:space="preserve"> Tikslingai naudojant švietimui skirtas lėšas bei kryptingai tobulinant darbuotojų kompetencijas, kiekvienam besimokančiajam sukurti lygiavertes ir šiuolaikiškas kokybiško ugdymo(si) sąlygas, lemiančias geresnius mokinių pasiekimus, optimalią, integracinę, darniai ir racionaliai veikiančią, nuolat atsinaujinančią savivaldybės švietimo sistemą</t>
  </si>
  <si>
    <t>Interneto svetainės naudotojai 253,7 tūkst./ metus (2020)</t>
  </si>
  <si>
    <t>Interneto svetainės naudotojai 500 tūkst. / metus (2030)</t>
  </si>
  <si>
    <t xml:space="preserve">Pradinė stebėsenos rodiklio reikšmė (2022) </t>
  </si>
  <si>
    <t>2.7.</t>
  </si>
  <si>
    <t>Asignavimų valdytojo kodas</t>
  </si>
  <si>
    <t>Finansavimo šaltinis</t>
  </si>
  <si>
    <t>SB(ĮP)</t>
  </si>
  <si>
    <t>Iš viso:</t>
  </si>
  <si>
    <t xml:space="preserve">Savivaldybės tarybos darbo organizavimas </t>
  </si>
  <si>
    <t xml:space="preserve">Savivaldybės administracijos veiklos organizavimas </t>
  </si>
  <si>
    <t>SB (ĮP)</t>
  </si>
  <si>
    <t>Įstaigos</t>
  </si>
  <si>
    <t>SB (D)</t>
  </si>
  <si>
    <t>Visagino „Verdenės“ gimnazija (Valstybinės kalbos testavimas)</t>
  </si>
  <si>
    <t>Duomenų atvėrimo priemonių įgyvendinimas</t>
  </si>
  <si>
    <t xml:space="preserve">Lopšelis-darželis „Gintarėlis“ </t>
  </si>
  <si>
    <t>Draugystės progimnazija</t>
  </si>
  <si>
    <t>Gyventojų informavimas (taryba)</t>
  </si>
  <si>
    <t>Administracija</t>
  </si>
  <si>
    <t>2024  m.asignavimų  planas, tūkst. Eur</t>
  </si>
  <si>
    <t>IŠ VISO programai finansuoti pagal finansavimo šaltinius (1 ir 2 punktai)</t>
  </si>
  <si>
    <t>R-01-01-01-01</t>
  </si>
  <si>
    <t>P-01-01-02-14</t>
  </si>
  <si>
    <t>Įregistruotų nekilnojamojo turto objektų savivaldybėje skaičius</t>
  </si>
  <si>
    <t>Mero  rezervas</t>
  </si>
  <si>
    <t>Atvertų duomenų rinkinių kiekis</t>
  </si>
  <si>
    <t>Švietimo įstaigų veiklos organizavimas</t>
  </si>
  <si>
    <t xml:space="preserve">Vaikų lopšelio-darželio „Auksinis gaidelis“ </t>
  </si>
  <si>
    <t xml:space="preserve">Vaikų lopšelio-darželio „Auksinis raktelis“ </t>
  </si>
  <si>
    <t>Vaikų lopšelio-darželio „Ąžuoliukas“</t>
  </si>
  <si>
    <t xml:space="preserve">Vaikų lopšelio-darželio „Kūlverstukas“ </t>
  </si>
  <si>
    <t>Draugystės progimnazijos</t>
  </si>
  <si>
    <t>"Verdenės" gimnazijos</t>
  </si>
  <si>
    <t>Visagino kūrybos ir menų akademijos</t>
  </si>
  <si>
    <t>Iš viso</t>
  </si>
  <si>
    <t>SD</t>
  </si>
  <si>
    <t>Savivaldybės įstaigų ugdymo proceso užtikrinimas</t>
  </si>
  <si>
    <t>SB (MK)</t>
  </si>
  <si>
    <t xml:space="preserve">SD </t>
  </si>
  <si>
    <t>Kt.</t>
  </si>
  <si>
    <t>Švietimo pagalbos tarnyba</t>
  </si>
  <si>
    <t>Savivaldybės administracijos nepaskirstytos lėšos 2,4 proc.</t>
  </si>
  <si>
    <t>Besimokančiųjų iniciatyvų skatinimas, pažinimo, lavinimosi, saviraiškos galimybių užtikrinimas ir konkursų, olimpiadų organizavimas</t>
  </si>
  <si>
    <t>Edukacinių programų, projektų įgyvendinimas tobulinant švietimo darbuotojų kvalifikaciją, skatinant jų iniciatyvas</t>
  </si>
  <si>
    <t>Nacionalinio mokinių pasiekimų patikrinimo, pagrindinio ugdymo pasiekimų patikrinimo organizavimas ir brandos egzaminų vykdymas</t>
  </si>
  <si>
    <t>Dalyvavimas nacionaliniu ir tarptautiniu lygiu įgyvendinamuose projektuose</t>
  </si>
  <si>
    <t>Neformaliojo vaikų švietimo programų įgyvendinimas</t>
  </si>
  <si>
    <t>Projekto " Draugystės progimnazijos dalyvavimas 09.2.1. ESFA-V-719 priemonėje "Kokybės krepšelis" įgyvendinimas</t>
  </si>
  <si>
    <t>Projekto "IT programavimo ir robotikos kompetencijų ugdymas pasienio regionų Latgalos ir Visagino mokyklose" įgyvendinimas (Interreg)</t>
  </si>
  <si>
    <t>Visagino savivaldybės bendrojo ugdymo mokyklų tinklo pertvarkos plano priemonių įgyvendinimas pagal mokyklų parengtus ir suderintus priemonių planus</t>
  </si>
  <si>
    <t>Vienai sąlyginei mokytojo pareigybei tenkančių mokinių skaičius bendrojo ugdymo mokyklose</t>
  </si>
  <si>
    <t>Lėšų, skirtų besimokančiųjų iniciatyvų skatinimui, pažinimui, saviraiškos galimybių užtikrinimui ir konkursų, olimpiadų organizavimui, panaudojimas</t>
  </si>
  <si>
    <t>Švietimo srityje  įgyvendinamų projektų, finansuojamų iš nacionalinių arba tarptautinių fondų, skaičius</t>
  </si>
  <si>
    <t xml:space="preserve">Paskatintų asmenų skaičius </t>
  </si>
  <si>
    <t>P-02-01-03-05</t>
  </si>
  <si>
    <t>Pagal Newton Rooms konceptą pritaikytų ir įrengtų patalpų skaičius</t>
  </si>
  <si>
    <t xml:space="preserve">Vaikų lopšelio-darželio „Gintarėlis“ </t>
  </si>
  <si>
    <t>"Atgimimo" gimnazijos</t>
  </si>
  <si>
    <t>"Gerosios vilties" progimnazijos</t>
  </si>
  <si>
    <t>"Žiburio" pagrindinės mokyklos</t>
  </si>
  <si>
    <t>Švietimo pagalbos tarnybos</t>
  </si>
  <si>
    <t>Atgimimo gimnazijos</t>
  </si>
  <si>
    <t>EGADP</t>
  </si>
  <si>
    <t xml:space="preserve">Programos įgyvendinimo laikotarpis 2024-2026 m. </t>
  </si>
  <si>
    <t>Užtikrinti efektyvią  įstaigų, veikiančių sporto srityje, veiklą</t>
  </si>
  <si>
    <t>Sportinio ugdymo programų ir sportininkų rengimo veiklos organizavimas ir paslaugų kokybės užtikrinimas</t>
  </si>
  <si>
    <t>Sporto įvairovės, gyventojų fizinio aktyvumo, prieinamumo įvairioms visuomenės grupėms užtikrinimas</t>
  </si>
  <si>
    <t>Sporto projektų  įgyvendinimo Visagino savivaldybėje užtikrinimas</t>
  </si>
  <si>
    <t xml:space="preserve">Vaikų mokymo plaukti programos įgyvendinimas </t>
  </si>
  <si>
    <t>Kultūros įstaigų veiklos organizavimas</t>
  </si>
  <si>
    <t>Muziejinės veiklos Visagino savivaldybėje užtikrinimas</t>
  </si>
  <si>
    <t>Rengimasis dalyvauti Dainų šventėse</t>
  </si>
  <si>
    <t>Etninės kultūros sklaida, senųjų tradicijų, papročių populiarinimas, gyvybingumo puoselėjimas</t>
  </si>
  <si>
    <t>Kalendorinių švenčių organizavimas</t>
  </si>
  <si>
    <t>Nematerialaus kultūros paveldo apsaugos administravimas ir sklaida</t>
  </si>
  <si>
    <t xml:space="preserve">Dalyvavimas nacionaliniu ir tarptautiniu lygmeniu įgyvendinamuose projektuose </t>
  </si>
  <si>
    <t>Profesionalaus meno sklaida savivaldybėje</t>
  </si>
  <si>
    <t>Visagino bendruomenėms svarbių datų, sukakčių, profesinių švenčių paminėjimas</t>
  </si>
  <si>
    <t>Tradicinių Visagino savivaldybės festivalių, formuojančių Visagino ir regiono kultūrinį savitumą, organizavimas</t>
  </si>
  <si>
    <t>Tolygios kultūrinės raidos įgyvendinimas regione ir konkurso tvarka kultūros projektų finansavimas</t>
  </si>
  <si>
    <t>Valstybės švenčių, sukakčių, įvykių minėjimas, visuomenės pilietiškumo, patriotiškumo ir nacionalinės savivertės stiprinimas</t>
  </si>
  <si>
    <t>Valstybinių švenčių, atmintinų datų paminėjimas</t>
  </si>
  <si>
    <t>Lietuvos Respublikos  Seimo sprendimais minėtinų svarbių datų, įvykių ir asmenybių sukakčių paminėjimas</t>
  </si>
  <si>
    <t>Sociokultūrinių bendruomenės poreikių tenkinimas, laisvalaikio, neformaliojo švietimo programų, kultūrinių edukacijų, ugdančių gyventojų kultūrines kompetencijas ir kūrybiškumą, organizavimas įtraukiant skirtingo amžiaus, pomėgių ir poreikių visuomenės grupes</t>
  </si>
  <si>
    <t>Sociokultūrinių bendruomenės poreikių tenkinimas, laisvalaikio organizavimas</t>
  </si>
  <si>
    <t>Naujamečio laikotarpio priemonių įgyvendinimas</t>
  </si>
  <si>
    <t>Visagino miesto šventės organizavimas</t>
  </si>
  <si>
    <t>188711925</t>
  </si>
  <si>
    <t xml:space="preserve">Visagino viešosios bibliotekos veiklos užtikrinimas </t>
  </si>
  <si>
    <t>Visagino kultūros centro veiklos užtikrinimas</t>
  </si>
  <si>
    <t>Skatinti vietos bendruomenių iniciatyvas</t>
  </si>
  <si>
    <t>Tradicinių religinių bendrijų ir bendruomenių veiklos ir kultūrinių iniciatyvų skatinimas</t>
  </si>
  <si>
    <t>Vietos iniciatyvų projektų savivaldybėje įgyvendinimo skatinimas</t>
  </si>
  <si>
    <t>Dalyvavimas vietos veiklos grupių veikloje, viešosios naudos nevyriausybinių ir bendruomeninių organizacijų institucinio stiprinimo projektų (gebėjimai, lyderystė, sąlygos viešosios naudos organizacijų veiklos tvarumui užtikrinti, socialinis verslas ir kt. ) finansavimas</t>
  </si>
  <si>
    <t>Dalyvaujamojo biudžeto priemonių įgyvendinimo užtikrinimas</t>
  </si>
  <si>
    <t>Jaunimo politikos įgyvendinimas</t>
  </si>
  <si>
    <t>Jaunimo savanoriškos tarnybos Visagino savivaldybėje programos įgyvendinimas</t>
  </si>
  <si>
    <t>Atvirą darbą su jaunimu vykdančių organizacijų programų finansavimas</t>
  </si>
  <si>
    <t xml:space="preserve">Jaunimo vasaros užimtumo programos įgyvendinimas </t>
  </si>
  <si>
    <t>Visagino savivaldybės nusikaltimų prevencijos ir kontrolės programos įgyvendinimas</t>
  </si>
  <si>
    <t>Gaisrų prevencijos programos Visagino savivaldybėje įgyvendinimas</t>
  </si>
  <si>
    <t>Butų- patalpų, esančių Visagine, Festivalio g. 6,8 išpirkimas iš savininkų neskelbiamų derybų būdu</t>
  </si>
  <si>
    <t>Socialinės paramos programos  (06) uždaviniai, priemonės, asignavimai ir kitos lėšos (tūkst.eurų) ir jų stebėsenos rodikliai</t>
  </si>
  <si>
    <t>Užtikrinti efektyvią savivaldybės biudžetinių socialinių paslaugų įstaigų veiklą</t>
  </si>
  <si>
    <t>Socialinių įstaigų veiklos organizavimas</t>
  </si>
  <si>
    <t>Visagino socialinių paslaugų centro veiklos užtikrinimas</t>
  </si>
  <si>
    <t>Visagino šeimos ir vaiko gerovės centro veiklos užtikrinimas</t>
  </si>
  <si>
    <t>Užtikrinti socialinių išmokų ir kompensacijų mokėjimą</t>
  </si>
  <si>
    <t>Išmokų vaikams skyrimas ir administravimas (SADM)</t>
  </si>
  <si>
    <t>Tikslinių kompensacijų mokėjimas ir administravimas</t>
  </si>
  <si>
    <t>Mokesčių už socialiai jautrioms grupėms suteiktas paslaugas kompensavimas</t>
  </si>
  <si>
    <t xml:space="preserve">Socialinės paramos mokiniams išlaidoms už įsigytus produktus skyrimas </t>
  </si>
  <si>
    <t xml:space="preserve">Socialinės paramos mokinio reikmenims įsigyti skyrimas </t>
  </si>
  <si>
    <t xml:space="preserve">Socialinių paslaugų asmenims su sunkia negalia užtikrinimas </t>
  </si>
  <si>
    <t>Socialinės globos paslaugų suaugusiems asmenims su negalia pirkimas</t>
  </si>
  <si>
    <t>Gyvenamosios aplinkos pritaikymas neįgaliesiems</t>
  </si>
  <si>
    <t xml:space="preserve">Neįgaliųjų asmenų poilsiui  (maudymuisi) užtikrinti, reikalingos aplinkos sukūrimas, Visagino ežere </t>
  </si>
  <si>
    <t>Mokesčių už komunalines paslaugas kompensavimas neįgaliesiems</t>
  </si>
  <si>
    <t>Vienkartinių, tikslinių, periodinių ir sąlyginių pašalpų gyventojams  teikimas</t>
  </si>
  <si>
    <t>Dotacija iš valstybės biudžeto lėšų, skirtų iš Lietuvos Respublikos socialinės apsaugos ir darbo ministerijos, vienkartinėms išmokoms įsikūrti gyvenamojoje vietoje savivaldybės teritorijoje ir (ar) mėnesinėms kompensacijoms vaiko ugdymo pagal ikimokyklinio ar priešmokyklinio ugdymo programą išlaidoms finansuoti</t>
  </si>
  <si>
    <t>Socialiai pažeidžiamų gyventojų grupių užimtumas, tarpžinybinio bendradarbiavimo skatinimas</t>
  </si>
  <si>
    <t xml:space="preserve">Transporto paslaugų organizavimas </t>
  </si>
  <si>
    <t>Socialinės rizikos židinių formavimosi  mažinimas,  sukuriant saugesnę  ir patogesnę aplinką   asmenims,  gyvenantiems  bendrabučiuose</t>
  </si>
  <si>
    <t xml:space="preserve">Senyvo amžiaus žmonių gyvenimo kokybės stiprinimas </t>
  </si>
  <si>
    <t xml:space="preserve">Pagalba šeimoms, globojančioms vaikus </t>
  </si>
  <si>
    <t xml:space="preserve">Paramos maistu teikimas socialinės rizikos asmenims </t>
  </si>
  <si>
    <t>Gyvenamojo būsto priskiriamo įvairioms socialinėms reikmėms priežiūra</t>
  </si>
  <si>
    <t>Vienkartinė parama įsteigus šeimyną</t>
  </si>
  <si>
    <t>Lengvatų suteikimas vietinės rinkliavos už komunalinių atliekų surinkimą iš atliekų turėtojų ir atliekų tvarkymą</t>
  </si>
  <si>
    <t>Asmens palaikų, kurių laidojimu privalo rūpintis savivaldybė, pervežimo ir laidojimo kompensavimas</t>
  </si>
  <si>
    <t xml:space="preserve">Būsto nuomos ar išperkamosios būsto nuomos mokesčių dalies kompensacijoms </t>
  </si>
  <si>
    <t>Skatinti socialinių paslaugų plėtrą bendruomenėje</t>
  </si>
  <si>
    <t xml:space="preserve">Šeimos gerovę užtikrinančių paslaugų ir priemonių sistemos įgyvendinimas" </t>
  </si>
  <si>
    <t>Visagino garbės piliečių nuostatuose numatytų teisių įgyvendinimas</t>
  </si>
  <si>
    <t>Asmeninės pagalbos teikimo užtikrinimas</t>
  </si>
  <si>
    <t>Socialinės reabilitacijos paslaugų neįgaliesiems paslaugų teikimo organizavimas</t>
  </si>
  <si>
    <t>Integralios pagalbos plėtra Visagino savivaldybėje</t>
  </si>
  <si>
    <t xml:space="preserve">Vaikų dienos centrų veiklos užtikrinimas </t>
  </si>
  <si>
    <t>Socialinių paslaugų plėtros pasitelkiant nevyriausybines organizacijas programos įgyvendinimas</t>
  </si>
  <si>
    <t>Stiprinti ir plėtoti visuomenės sveikatinimo veiklą</t>
  </si>
  <si>
    <t>Savivaldybės visuomenės sveikatos priežiūros rėmimo specialiųjų programų vykdymas</t>
  </si>
  <si>
    <t xml:space="preserve">Dalyvavimas programose, skirtose sveikatai stiprinti </t>
  </si>
  <si>
    <t>Narkotikų, alkoholio ir tabako vartojimo prevencijos ir kontrolės stiprinimas</t>
  </si>
  <si>
    <t>Žmonių užkrečiamųjų ligų profilaktikos ir kontrolės organizavimas (Covid 19)</t>
  </si>
  <si>
    <t>Psichikos sveikatos stiprinimo, psichosocialinės pagalbos ir savižudybių prevencijos intervencijų plėtra</t>
  </si>
  <si>
    <t>Trūkstamų specialybių gydytojų skatinimo dirbti Visagino savivaldybės viešosiose asmens sveikatos priežiūros įstaigose programos įgyvendinimas</t>
  </si>
  <si>
    <t>Remti sveikatos priežiūros paslaugų teikimą nustatytų kategorijų žmonėms</t>
  </si>
  <si>
    <t>Projekto „Rokiškio rajono, Kupiškio rajono ir Visagino savivaldybių mokyklų sveikatos kabinetų atnaujinimas“ įgyvendinimas</t>
  </si>
  <si>
    <t>Užtikrinti Savivaldybės darbuotojų saugą darbe</t>
  </si>
  <si>
    <t>Savivaldybės darbuotojų saugos darbe užtikrinimo programa</t>
  </si>
  <si>
    <t>Mažinti aplinkos užterštumą ir gerinti vandens telkinių, bendro naudojimo ir kitų teritorijų būklę</t>
  </si>
  <si>
    <t>Vietinės rinkliavos už komunalinių atliekų surinkimą administravimas</t>
  </si>
  <si>
    <t>Užterštų teritorijų valymas</t>
  </si>
  <si>
    <t>Aplinkos monitoringo, prevencinių ,aplinkos atkūrimo priemonių įgyvendinimas</t>
  </si>
  <si>
    <t xml:space="preserve">Atliekų tvarkymas ir atliekų tvarkymo infrastruktūros plėtra </t>
  </si>
  <si>
    <t xml:space="preserve">Tekstilės atliekų surinkimas </t>
  </si>
  <si>
    <t xml:space="preserve">Visuomenės švietimas ir mokymas aplinkosaugos klausimais </t>
  </si>
  <si>
    <t xml:space="preserve">Miško sklypų savininkų, valdytojų ir naudotojų, įgyvendinančių medžiojamų gyvūnų daromos žalos miškui apsaugos priemones, kuriomis jie siekia išvengti medžiojamųjų gyvūnų daromos žalos miškui, rėmimas </t>
  </si>
  <si>
    <t>Atsinaujinančių energijos šaltinių panaudojimo skatinimas, aplinkai palankių technologijų diegimas</t>
  </si>
  <si>
    <t>Aplinkos kokybės gerinimas  ir apsauga</t>
  </si>
  <si>
    <t>Mokestis už paviršinių nuotekų nuotakyno sistemos tvarkymą</t>
  </si>
  <si>
    <t>Triukšmo prevencijos programos įgyvendinimas</t>
  </si>
  <si>
    <t xml:space="preserve"> Naminių gyvūnų ir bešeimininkių gyvūnų gerovės užtikrinimas bei 
reikalingos infrastruktūros įrengimas</t>
  </si>
  <si>
    <t>Išsaugoti, formuoti etalonines kraštovaizdžio teritorijas, gerinti ekologinę būklę gamtinio karkaso teritorijose</t>
  </si>
  <si>
    <t>Projekto  "Dalies kanalizuoto Gulbinės upelio Visagino mieste išlaisvinimas ir žaliosios infrastruktūros elementų kūrimas" įgyvendinimas</t>
  </si>
  <si>
    <t>Bendradarbiavimas su VšĮ „Euroregiono Ežerų kraštas direktorato biuras“</t>
  </si>
  <si>
    <t>Investicijoms pritaikytos verslo ir gamybos pastatų bei žemės infrastruktūros, skatinant apleistų/nenaudojamų/neefektyviai naudojamų teritorijų ir pastatų konversiją ir pritaikymą ekonominei veiklai, sukūrimas</t>
  </si>
  <si>
    <t>Verslo skatinimas ir investicijų pritraukimas</t>
  </si>
  <si>
    <t>Visagino savivaldybės užimtumo didinimo programos įgyvendinimas</t>
  </si>
  <si>
    <t>Pritraukti ES ir kitų fondų lėšas miesto plėtros projektams įgyvendinti</t>
  </si>
  <si>
    <t>Paraiškų parengimas ES struktūrinių fondų paramai gauti ir būtinosios (privalomosios) dokumentacijos prie projektų parengimas</t>
  </si>
  <si>
    <t>Dalyvavimas Utenos regiono plėtros tarybos veikloje</t>
  </si>
  <si>
    <t>Bendradarbiavimo su Visagino technologijų ir verslo profesinio mokymo centru, siekiant pritraukti investuotojus į regioną, užtikrinimas</t>
  </si>
  <si>
    <t>Teritorijų planavimo dokumentų rengimas</t>
  </si>
  <si>
    <t>Žemės sklypų planų (kadastrinių matavimų) rengimas</t>
  </si>
  <si>
    <t>Inovacijų, paremtų technologijų panaudojimu, viešajame ir privačiame sektoriuose skatinimas.</t>
  </si>
  <si>
    <t>Skaitmeninės įmonių plėtros ir neutralios klimatui ekonomikos skatinimas</t>
  </si>
  <si>
    <t>Žygių (pėsčiomis) maršrutų sukūrimas ir priėjimų prie lankomų/gamtos objektų įrengimas, atokvėpio/stebėjimo vietų įrengimas</t>
  </si>
  <si>
    <t>Daugiataučio kultūros paveldo perdavimo per vietos verslo paslaugas rėmimas</t>
  </si>
  <si>
    <t xml:space="preserve">Vandens transporto priemonių nuleidimo vietų įrengimas </t>
  </si>
  <si>
    <t>Miesto kraštovaizdžio formavimas ir įprasminimas</t>
  </si>
  <si>
    <t>Tematinių renginių organizavimas, išnaudojant miesto viešąją infrastruktūrą daugiataučio, kūrybiško, energetikos miesto įvaizdžiui viešinti</t>
  </si>
  <si>
    <t>Ekonomikos ir investicijų augimo skatinimas savivaldybėje, vystant turizmo plėtrą</t>
  </si>
  <si>
    <t xml:space="preserve">Savivaldybės lankomų turistinių objektų priežiūra ir remontas </t>
  </si>
  <si>
    <t>Keleivių vežimo nuostolių padengimas ir lengvatinis keleivių  vežimas</t>
  </si>
  <si>
    <t xml:space="preserve">Kompensacijų mokėjimas už lengvatinį keleivių vežimą </t>
  </si>
  <si>
    <t>Mokinių pavėžėjimas</t>
  </si>
  <si>
    <t>Transporto paslaugų teikimas savivaldybės biudžetinėms įstaigoms, kitiems juridiniams ir fiziniams asmenims</t>
  </si>
  <si>
    <t xml:space="preserve">Kelių priežiūros ir plėtros programos priemonių įgyvendinimas </t>
  </si>
  <si>
    <t xml:space="preserve">Elektromobilių įkrovimo prieigų tinklo Visagino mieste   plėtra ir esamo išlaikymas </t>
  </si>
  <si>
    <t>Miesto šaligatvių paprastasis remontas</t>
  </si>
  <si>
    <t>Atnaujinti (rekonstruoti) Visagino viešuosius, ūkinius pastatus</t>
  </si>
  <si>
    <t>Renovuoti ir įrengti automobilių stovėjimo, dviračių ir pėsčiųjų takus, sporto ir laisvalaikio aikšteles</t>
  </si>
  <si>
    <t>Projekto „Dviračių tako su apšvietimu, nuo sankryžos (Taikos prospekto ir Energetikų g.) iki valstybinės reikšmės kelio Nr. 177, Visagine“ įgyvendinimas</t>
  </si>
  <si>
    <t>Renovuoti ir įrengti dviračių ir pėsčiųjų takus</t>
  </si>
  <si>
    <t>Projektavimo darbų paslaugos ir projektų ekspertizė</t>
  </si>
  <si>
    <t>Prižiūrėti, remontuoti ir įrengti vaikų žaidimų aikšteles savivaldybėje</t>
  </si>
  <si>
    <t>Projekto "Jungties nuo geležinkelio stoties iki Visagino miesto centro įrengimas, kartu su etno kultūrų parku įrengimas" įgyvendinimas</t>
  </si>
  <si>
    <t>Remontuoti ir prižiūrėti savivaldybės turtą</t>
  </si>
  <si>
    <t>Pastatų konstrukcijų ir inžinerinių tinklų remontas, avariniai darbai</t>
  </si>
  <si>
    <t>Vykdyti Visagino savivaldybės daugiabučių namų atnaujinimo (modernizavimo) programą</t>
  </si>
  <si>
    <t>Visagino savivaldybės daugiabučių namų atnaujinimo (modernizavimo) programos įgyvendinimui ir daugiabučių namų savininkų bendrijų valdymo organų švietimui</t>
  </si>
  <si>
    <t>Įgyvendinti savivaldybės infrastruktūros plėtros įstatymo nuostatas</t>
  </si>
  <si>
    <t>Visagino savivaldybės infrastruktūros plėtros priemonių plane numatytų priemonių įgyvendinimas</t>
  </si>
  <si>
    <t>Tvarkyti gyvenamąją aplinką, administruoti gatvių apšvietimo paslaugas</t>
  </si>
  <si>
    <t>Visagino miesto teritorijos ribų pažymėjimas, gatvių pavadinimų ir objektų (pastatų) numeracijos ženklinimo darbai</t>
  </si>
  <si>
    <t>Apšvietimo sistemos avarinės būklės ruožų keitimo ir naujų kabelinių linijų nutiesimo darbai</t>
  </si>
  <si>
    <t xml:space="preserve">Savivaldybės gatvių apšvietimas </t>
  </si>
  <si>
    <t>Elektros linijų ir elektros spintų, apskaitos skydų montavimas</t>
  </si>
  <si>
    <t>Pastatų šilumos sistemos ir šilumos mazgų priežiūra ir remontas</t>
  </si>
  <si>
    <t>Požeminių tinklų topografinių planų atnaujinimas Visagino miesto ir savivaldybės teritorijoje</t>
  </si>
  <si>
    <t>Vykdyti kapinių priežiūros darbus</t>
  </si>
  <si>
    <t>Visų kapinių, esančių Visagino savivaldybės teritorijoje,  priežiūros darbai</t>
  </si>
  <si>
    <t>Savivaldybės kaimiškųjų vietovių infrastruktūros tvarkymas</t>
  </si>
  <si>
    <t>Kraštovaizdžio ekologinės pusiausvyros formavimas, išardant nebaigtos statybos arba nereikalingus , netinkamus naudoti statinius Visagino savivaldybėje</t>
  </si>
  <si>
    <t>Visagino savivaldybės sporto renginių organizavimas pagal patvirtintą metinį Sporto renginių planą bei sąlygų dalyvauti tarptautiniuose čempionatuose atstovaujant Visagino savivaldybei užtikrinimas</t>
  </si>
  <si>
    <t xml:space="preserve">Parengtų analizių skaičius </t>
  </si>
  <si>
    <t>4</t>
  </si>
  <si>
    <t>35</t>
  </si>
  <si>
    <t>40</t>
  </si>
  <si>
    <t>Metinio renginių plano įgyvendinimas</t>
  </si>
  <si>
    <t>Plėtoti ir tobulinti sporto varžybas ir sporto sveikatingumo renginius siekiant įtraukti vaikus, jaunimą ir kitas gyventojų grupes į sportinę veiklą, rengti sporto specialistus</t>
  </si>
  <si>
    <t>6</t>
  </si>
  <si>
    <t>Užtikrinti efektyvią kultūros įstaigų veiklą</t>
  </si>
  <si>
    <t>0,2</t>
  </si>
  <si>
    <t>Organizuotų renginių  skaičius</t>
  </si>
  <si>
    <t>8</t>
  </si>
  <si>
    <t>Profesionalaus meno sklaidos renginių skaičius Visagino kultūros centre: - koncertų (klasikinės, džiazo muzikos), - spektaklių, - parodų</t>
  </si>
  <si>
    <t>Organizuota festivalių, formuojančių Visagino ir regiono kultūrinį savitumą</t>
  </si>
  <si>
    <t>Finansuotų/įgyvendintų projektų skaičius</t>
  </si>
  <si>
    <t>Organizuota valstybinių švenčių, svarbių Lietuvai datų minėjimų skaičius</t>
  </si>
  <si>
    <t>R-04-02-02-05</t>
  </si>
  <si>
    <t>300141349</t>
  </si>
  <si>
    <t>300509331</t>
  </si>
  <si>
    <t>Kt</t>
  </si>
  <si>
    <t>ĮP</t>
  </si>
  <si>
    <t>Savivaldybės administracija</t>
  </si>
  <si>
    <t>Visagino kultūros centras</t>
  </si>
  <si>
    <t>Visagino viešoji biblioteka</t>
  </si>
  <si>
    <t>Visagino kūrybos menų akademija</t>
  </si>
  <si>
    <t>P</t>
  </si>
  <si>
    <t>Užimtumo tarnyboje prie Lietuvos Respublikos socialinės apsaugos ir darbo ministerijos bedarbio statusu registruotų ukrainiečių skaičius</t>
  </si>
  <si>
    <t>0–3 metų vaikai</t>
  </si>
  <si>
    <t>4–6 metų amžiaus vaikai</t>
  </si>
  <si>
    <t>70+ amžiaus asmenys</t>
  </si>
  <si>
    <t>Bendrojo ugdymo įstaigose registruoti mokiniai</t>
  </si>
  <si>
    <t>Bendras asmenų skaičius</t>
  </si>
  <si>
    <t>68</t>
  </si>
  <si>
    <t>25</t>
  </si>
  <si>
    <t>42</t>
  </si>
  <si>
    <t>44</t>
  </si>
  <si>
    <t>82</t>
  </si>
  <si>
    <t>261</t>
  </si>
  <si>
    <t>Paremtų tradicinių religinių bendrijų ir bendruomenių veiklos ir kultūrinių iniciatyvų vietos projektų skaičius</t>
  </si>
  <si>
    <t>3</t>
  </si>
  <si>
    <t>Įgyvendintų dalyvaujamojo biudžeto priemonių skaičius</t>
  </si>
  <si>
    <t>Jaunimo vasaros užimtumo programoje dalyvavusių jaunuolių skaičius</t>
  </si>
  <si>
    <t xml:space="preserve">Įgyvendintų priemonių skaičius </t>
  </si>
  <si>
    <t>Išpirktų butų skaičius</t>
  </si>
  <si>
    <t>300079075</t>
  </si>
  <si>
    <t>190230824</t>
  </si>
  <si>
    <t>Visagino Atgimimo gimnazija</t>
  </si>
  <si>
    <t>Visagino Draugystės progimnazija</t>
  </si>
  <si>
    <t>Visagino Gerosios vilties progimnazija</t>
  </si>
  <si>
    <t>Visagino Verdenės gimnazija</t>
  </si>
  <si>
    <t>Visagino "Žiburio" pagrindinė mokykla</t>
  </si>
  <si>
    <t>Visagino vaikų l-d Auksinis raktelis</t>
  </si>
  <si>
    <t>Visagino vaikų lopšelis-darželis Kūlverstukas</t>
  </si>
  <si>
    <t>Visagino vaikų l-d Gintarėlis</t>
  </si>
  <si>
    <t>Visagino vaikų l-d "Ąžuoliukas"</t>
  </si>
  <si>
    <t>Visagino L-d Auksinis gaidelis (Vaikystės pedagogikos centras)</t>
  </si>
  <si>
    <t>Šeimos ir vaiko gerovės centras</t>
  </si>
  <si>
    <t>Savivaldyės administracija</t>
  </si>
  <si>
    <t>D</t>
  </si>
  <si>
    <t>Iš jų: dotacija iš valstybės biudžeto lėšų, skirtų iš Lietuvos Respublikos Socialinės apsaugos ir darbo ministerijos, skirtų būstų nuomai iš fizinių ir juridinių asmenų apmokėti</t>
  </si>
  <si>
    <t xml:space="preserve">Socialinių paslaugų centras </t>
  </si>
  <si>
    <t xml:space="preserve">Įgyvendinant šią priemonę bus užtikrintas kompleksinių paslaugų šeimai organizavimas po projekto įgyvendinimo. </t>
  </si>
  <si>
    <t>Įgyvendinant šią priemonę gali būti suteikiama lengvata atliekų turėtojams už vietinės rinkliavos už komunalinių atliekų surinkimą iš atliekų turėtojų ir atliekų tvarkymą.</t>
  </si>
  <si>
    <t>Tikslinių kompensacijų gavėjų skaičius</t>
  </si>
  <si>
    <t>Išmokų nedarbingiems neįgaliesiems, auginantiems vaikus iki 18 metų, gavėjų skaičius</t>
  </si>
  <si>
    <t>Mokinių, gaunančių nemokamą maitinimą, vidutinis skaičius per mėnesį</t>
  </si>
  <si>
    <t>Mokinių, gaunančių paramą mokinio reikmenims įsigyti, skaičius</t>
  </si>
  <si>
    <t>Asmenų su sunkia negalia, gaunančių socialinę globą, skaičius</t>
  </si>
  <si>
    <t>Asmenų, kuriems socialinės paslaugos teikiamos kitų steigėjų įstaigose, skaičius</t>
  </si>
  <si>
    <t>7</t>
  </si>
  <si>
    <t>80</t>
  </si>
  <si>
    <t>Neįgaliųjų asmenų poilsiui (maudymuisi) užtikrinti  sukurtos infrastruktūros skaičius</t>
  </si>
  <si>
    <t>Neįgaliųjų, kuriems kompensuota dalis mokesčio už komunalines paslaugas, skaičius</t>
  </si>
  <si>
    <t>110</t>
  </si>
  <si>
    <t>Kitą socialinę paramą gavusių asmenų skaičius</t>
  </si>
  <si>
    <t>200</t>
  </si>
  <si>
    <t>Asmenų, gavusių transporto paslaugas, skaičius</t>
  </si>
  <si>
    <t>60</t>
  </si>
  <si>
    <t xml:space="preserve">Suremontuotų bendrabučių patalpų skaičius </t>
  </si>
  <si>
    <t>Paslaugas gavusių senyvo amžiaus žmonių skaičius</t>
  </si>
  <si>
    <t>170</t>
  </si>
  <si>
    <t>Asmenų, kurių pervežimu ir palaidojimu pasirūpino savivaldybė, skaičius</t>
  </si>
  <si>
    <t>Asmenų (šeimų), gavusių būsto nuomos mokesčio dalies kompensaciją, skaičius, vienetai</t>
  </si>
  <si>
    <t>Šeimos gerovę užtikrinančių priemonių skaičius</t>
  </si>
  <si>
    <t>Asmenų, kuriems suteiktas Garbės piliečių vardas, skaičius</t>
  </si>
  <si>
    <t>Asmenų, kuriems suteikta individuali pagalba namuose ir viešojoje aplinkoje, skaičius</t>
  </si>
  <si>
    <t>Integralios pagalbos namuose gavėjų skaičius</t>
  </si>
  <si>
    <t>Įkurtų dienos centrų senjorams skaičius</t>
  </si>
  <si>
    <t>Veikiančių savarankiško gyvenimo namų  Visagine skaičius</t>
  </si>
  <si>
    <t xml:space="preserve">Įgyvendintų projektų skaičius </t>
  </si>
  <si>
    <t>Globėjų (rūpintojų), kuriems teikiama pagalba, skaičius</t>
  </si>
  <si>
    <t>R-06-01-03-10</t>
  </si>
  <si>
    <t>R-06-01-03-13</t>
  </si>
  <si>
    <t>R-06-01-03-14</t>
  </si>
  <si>
    <t>R-06-01-03-15</t>
  </si>
  <si>
    <t>R-06-01-03-16</t>
  </si>
  <si>
    <t>R-06-01-03-17</t>
  </si>
  <si>
    <t>R-06-01-03-18</t>
  </si>
  <si>
    <t>R-06-02-01-01</t>
  </si>
  <si>
    <t>R-06-02-01-02</t>
  </si>
  <si>
    <t>R-06-02-01-03</t>
  </si>
  <si>
    <t>R-06-02-01-04</t>
  </si>
  <si>
    <t>R-06-02-01-05</t>
  </si>
  <si>
    <t>R-06-02-01-06</t>
  </si>
  <si>
    <t>R-06-02-01-07</t>
  </si>
  <si>
    <t>R-06-02-01-08</t>
  </si>
  <si>
    <t>R-06-02-01-09</t>
  </si>
  <si>
    <t>R-06-02-01-10</t>
  </si>
  <si>
    <t>R-06-02-01-11</t>
  </si>
  <si>
    <t>R-06-02-01-12</t>
  </si>
  <si>
    <t>R-06-02-01-13</t>
  </si>
  <si>
    <t>R-06-02-01-14</t>
  </si>
  <si>
    <t>R-07-01-01-05</t>
  </si>
  <si>
    <t>R-07-01-01-10</t>
  </si>
  <si>
    <t>Vykdomų visuomenės sveikatos rėmimo programos priemonių skaičius</t>
  </si>
  <si>
    <t>Įstaigų, dalyvaujančių programose, skirtose sveikatai stiprinti, skaičius</t>
  </si>
  <si>
    <t xml:space="preserve">Suaugusiųjų, kurie savo dabartinę sveikatos būklę vertina kaip gerą arba labai gerą, dalis </t>
  </si>
  <si>
    <t>70,06</t>
  </si>
  <si>
    <t>71,01</t>
  </si>
  <si>
    <t>71,95</t>
  </si>
  <si>
    <t>34</t>
  </si>
  <si>
    <t>Lėšų, skirtų užkrečiamųjų ligų profilaktikos ir asmens higienos klausimais panaudojimas</t>
  </si>
  <si>
    <t>65</t>
  </si>
  <si>
    <t>Įgyvendintų projektų, skirtų priklausomybės ligų profilaktikai, skaičius</t>
  </si>
  <si>
    <t>14,3</t>
  </si>
  <si>
    <t xml:space="preserve">Atvykusių dirbti gydytojų ar studentų, kuriems apmokėtos studijos, skaičius </t>
  </si>
  <si>
    <t xml:space="preserve">Įgyvendinant  projekto veiklas, sukurtų naujų paslaugų skaičius </t>
  </si>
  <si>
    <t xml:space="preserve">Įkurtų psichiatrijos dienos stacionarų skaičius </t>
  </si>
  <si>
    <t>Atnaujintų savivaldybių mokyklų sveikatos kabinetų skaičius</t>
  </si>
  <si>
    <t>Atliekų, kurių turėtojo nustatyti neįmanoma arba kuris nebeegzistuoja, tvarkymas</t>
  </si>
  <si>
    <t>"Atgimimo gimnazija"</t>
  </si>
  <si>
    <t>"Verdenės" gimnazija</t>
  </si>
  <si>
    <t>"Gerosios vilties" progimnazija</t>
  </si>
  <si>
    <t>"Žiburio" pagrindinė mokykla</t>
  </si>
  <si>
    <t>Lopšelis darželis "Auksinis gaidelis"</t>
  </si>
  <si>
    <t>Lopšelis darželis "Auksinis raktelis"</t>
  </si>
  <si>
    <t>Lopšelis darželis "Ąžuoliukas"</t>
  </si>
  <si>
    <t>Lopšelis-darželis "Gintarėlis"</t>
  </si>
  <si>
    <t>Lopšelis-darželis "Kūlverstukas"</t>
  </si>
  <si>
    <t>Visagino kūrybos ir menų akademija</t>
  </si>
  <si>
    <t>R-08-01-01-09</t>
  </si>
  <si>
    <t>Suteikta finansinė parama miško sklypų savininkams, valdytojams ir naudotojams</t>
  </si>
  <si>
    <t>Įgyvendintų projektų, atsinaujinančių išteklių energijos naudojimo, srityje skaičius</t>
  </si>
  <si>
    <t>Lėšų už paviršinių nuotekų nuotakyno sistemos tvarkymą panaudojimas</t>
  </si>
  <si>
    <t>99</t>
  </si>
  <si>
    <t>Programos lėšomis įgyvendintų priemonių, skirtų gyvūnų globai, saugojimui ir populiacijos kontrolei, skaičius</t>
  </si>
  <si>
    <t>Projektas "Europe direct Visagino savivaldybėje" apivartynėms lėšoms</t>
  </si>
  <si>
    <t xml:space="preserve">Visagino, Ignalinos ir Zarasų rajonų savivaldybių funkcinės zonos  strategijos parengimas ir įgyvendinimas </t>
  </si>
  <si>
    <t xml:space="preserve">Parengtų teritorijų planavimo dokumentų skaičius </t>
  </si>
  <si>
    <t>Atliktų verslo aplinkos tyrimų skaičius</t>
  </si>
  <si>
    <t>Įsteigtų pramonės parkų (laisvųjų ekonominių zonų) Visagino savivaldybėje skaičius</t>
  </si>
  <si>
    <t>R-09-02-02-01</t>
  </si>
  <si>
    <t>Parengtų teritorijų planavimo dokumentų skaičius</t>
  </si>
  <si>
    <t>Parengtų žemės sklypų planų (kadastrinių matavimų) skaičius</t>
  </si>
  <si>
    <t>R-09-02-03-01</t>
  </si>
  <si>
    <t>R-09-02-03-02</t>
  </si>
  <si>
    <t>R-09-02-03-03</t>
  </si>
  <si>
    <t>R-09-02-03-04</t>
  </si>
  <si>
    <t>Inovacijų srityje įgyvendintų projektų skaičius</t>
  </si>
  <si>
    <t xml:space="preserve">Skaitmenizavimo srityje įgyvendintų projektų skaičius  </t>
  </si>
  <si>
    <t>R-09-03-01-03</t>
  </si>
  <si>
    <t>R-09-03-01-05</t>
  </si>
  <si>
    <t>R-09-03-01-08</t>
  </si>
  <si>
    <t>Sukurtų turizmo objektų skaičius</t>
  </si>
  <si>
    <t>Įrengtų miesto kraštovaizdžio formavimo ir įprasminimo priemonių skaičius</t>
  </si>
  <si>
    <t xml:space="preserve">Organizuotų renginių skaičius </t>
  </si>
  <si>
    <t xml:space="preserve">Prižiūrėta ir suremontuota savivaldybės lankomų turistinių objektų </t>
  </si>
  <si>
    <t>Parengtų funkcinės (-ių) zonos (-ų) strategijų skaičius</t>
  </si>
  <si>
    <t>Bendradarbiaujant su VšĮ „Euroregiono Ežerų kraštas direktorato biuras“ nuolat  ieškoma galimybių įgyvendinti naujus projektus, kurie prisidėtų prie Visagino miesto plėtros bei įvaizdžio kūrimo</t>
  </si>
  <si>
    <t>Įgyvendinant šią priemonę planuojama sukurti ir įgyvendinti inovacinės veiklos ir kūrybinės veiklos skatinimo sistemą, skatinti kompetencijų plėtrą skaičiavimo, dirbtinio intelekto, kibernetinio saugumo taikymo srityse. Vystyti darbo vietų suteikimo paslaugas (kūrybinių industrijų sektoriuje (inovacijų klasterio veiklos užtikrinimas).</t>
  </si>
  <si>
    <t xml:space="preserve">Lyginant su Lietuvos vidurkiu Visaginas išsiskiria didele ne lietuvių tautybės gyventojų dalimi. Visagine aktyvūs ir kitų tautybių gyventojai, pavyzdžiui, baltarusiai, lenkai, ukrainiečiai ir kt., dėka kurių Visaginas gali vadintis daugiataučiu miestu. Tautinės mažumos dažnai dalyvauja miesto renginiuose, rengia savo tautines šventes, organizuoja tarptautinį tautinių mažumų festivalį „Rudeninės“. Nors tautinės bendruomenės turi sukurtas edukacijų programas, jas niekur nereklamuoja bei turistams nerengia. Tikimąsi , kad priemonės įgyvendinimas paskatins ekonominę veiklą. </t>
  </si>
  <si>
    <t>Su atominės elektrinės paveldu glaudžiai susijusi ir miesto urbanistika, išsiskirianti savo apgalvotu planavimu ir prisitaikymo prie natūralaus kraštovaizdžio. Visagine organizuojamos architektūrinės stovyklos, vedamos ekskursijos, leidžiančios susipažinti su miesto architektūriniais akcentais, vykdomi kultūros bei švietimo projektai, tyrinėjantys ir atkreipiantys dėmesį į miesto urbanistiką. Visagino savivaldybė garsėja meno ir kūrybinių iniciatyvų pasiūla, per pastaruosius metus mieste vis daugėja šiuolaikinio meno ir kūrybos šakų, kaip, pavyzdžiui, muralų, „Naujojo cirko“, šviesos instaliacijų ir kitų, išraiškų. Šiuolaikinio meno ir kūrybos iniciatyvos, be abejo, pritraukia turistus, kuria šiuolaikinio, progresyvaus miesto įvaizdį. Tam, kad menas ir kūryba taptų turistų traukos taškais, svarbu skatinti nepriklausomų menininkų įsikūrimą ir veiklos plėtrą. Taip pat, kūrybinių veiklų organizavimas ir pristatymas viešosiose erdvėse turi būti aiškus ir lengvai prieinamas bet kurio lygio menininkams</t>
  </si>
  <si>
    <t xml:space="preserve">Įsteigus Visagino rekreacijos paslaugų centro filialą „Visagino parkas“ (toliau tekste – Parkas) (Visagino savivaldybės tarybos 2015 m. gruodžio 28 d. sprendimas Nr. TS-247) teikiamos turizmo, rekreacijos ir poilsio viešosios paslaugos, taip pat ieškomas investuotojas bei rengiama dokumentacija, siekiant išnuomoti Parko dalį (išskyrus patalpas, kuriose planuojama įgyvendinti projektą „Atominės energetikos aktualizavimas ir pritaikymas edukacijai bei turizmui“) privačiam subjektui. </t>
  </si>
  <si>
    <t xml:space="preserve">Visagino rekreacijos paslaugų centras </t>
  </si>
  <si>
    <t>Renovuoti ir įrengti sporto bei laisvalaikio aikšteles</t>
  </si>
  <si>
    <t>Įrengtų darnaus judumo infrastruktūros priemonių skaičius</t>
  </si>
  <si>
    <t>Pastatyta autobusų stotis su turizmo informacijos centru Visagino savivaldybėje</t>
  </si>
  <si>
    <t>Modernizuotų viešųjų pastatų skaičius</t>
  </si>
  <si>
    <t>Įrengtų ir atnaujintų vaikų žaidimų, sporto bei laisvalaikio aikštelių skaičius Visagino savivaldybėje</t>
  </si>
  <si>
    <t>Rekonstruotų pėsčiųjų  alėjų  skaičius</t>
  </si>
  <si>
    <t>Atnaujintų namų skaičius  nuo bendro nerenovuotų daugiabučių namų skaičiaus procentais</t>
  </si>
  <si>
    <t xml:space="preserve">Įrengta gatvių žymėjimo lentelių </t>
  </si>
  <si>
    <t>Įgyvendintų projektų apšvietimo srityje skaičius</t>
  </si>
  <si>
    <t>Sumontuotų elektros linijų ir elektros spintų, apskaitos skydų skaičius</t>
  </si>
  <si>
    <t>Pasirašyta pastatų šilumos sistemos ir šilumos mazgų priežiūros ir remonto sutarčių skaičius</t>
  </si>
  <si>
    <t>Atnaujintų požeminių tinklų topografinių planų skaičius</t>
  </si>
  <si>
    <t xml:space="preserve">Prižiūrimų kapinių skaičius </t>
  </si>
  <si>
    <t>Sutvarkytų išardytų nebaigtos statybos arba nereikalingų, netinkamų naudoti statinių Visagino savivaldybėje skaičius</t>
  </si>
  <si>
    <t xml:space="preserve">Inicijuotų techninių projektų rengimo skaičius </t>
  </si>
  <si>
    <t>R-02-02-01-01</t>
  </si>
  <si>
    <t>190230641</t>
  </si>
  <si>
    <t>190230443</t>
  </si>
  <si>
    <t>190231730</t>
  </si>
  <si>
    <t>190231011</t>
  </si>
  <si>
    <t>190230258</t>
  </si>
  <si>
    <t>190243280</t>
  </si>
  <si>
    <t>300135691</t>
  </si>
  <si>
    <t>190243095</t>
  </si>
  <si>
    <t>190243519</t>
  </si>
  <si>
    <t>193170510</t>
  </si>
  <si>
    <t>305632124</t>
  </si>
  <si>
    <t>300665693</t>
  </si>
  <si>
    <t>R-10-01-01-02</t>
  </si>
  <si>
    <t>R-10-02-03-01</t>
  </si>
  <si>
    <t>R-10-02-04-01</t>
  </si>
  <si>
    <t>R-10-02-04-02</t>
  </si>
  <si>
    <t>R-10-02-04-04</t>
  </si>
  <si>
    <t>R-10-02-04-08</t>
  </si>
  <si>
    <t>E-10-02-07</t>
  </si>
  <si>
    <t>R-10-02-07-01</t>
  </si>
  <si>
    <t>Įgyvendintų priemonių skaičius</t>
  </si>
  <si>
    <t>95</t>
  </si>
  <si>
    <t>Vietinės rinkliavos už komunalinių atliekų surinkimo dalis nuo apskaičiuotos, proc.</t>
  </si>
  <si>
    <t>2000</t>
  </si>
  <si>
    <t>3000</t>
  </si>
  <si>
    <t>Įgyvendinti Lietuvos Respublikos triukšmo valdymo įstatymo nuostatas</t>
  </si>
  <si>
    <t>Įgyvendinti Lietuvos Respublikos geriamojo vandens tiekimo ir nuotekų tvarkymo įstatymo nuostatas</t>
  </si>
  <si>
    <t xml:space="preserve">Įgyvendinti Lietuvos Respublikos jaunimo politikos pagrindų įstatymo nuostatas </t>
  </si>
  <si>
    <t>Teikti institucinę paramą įstaigoms, vykdančioms atvirąjį darbą su jaunimu, siekiant skatinti atviro darbo su jaunimu formų ir įvairovės plėtrą, ypatingą dėmesį skiriant iš švietimo sistemos iškritusiam, nedirbančiam ir perkvalifikavimo programose nedalyvaujančiam jaunimui. Projektų konkursų  finansavimo sąlygų aprašas tvirtinamas teisės aktų nustatyta tvarka.</t>
  </si>
  <si>
    <t>980</t>
  </si>
  <si>
    <t>Iš planuojamų išpirkti 38 butų, 2023 m. išpirkta 10 butų. 2024-2025 m. planuojama išpirkti likusią dalį t.y. po 14 butų per metus.</t>
  </si>
  <si>
    <t>4.</t>
  </si>
  <si>
    <t>Valdymo tobulinimo 
programa (01)</t>
  </si>
  <si>
    <t>Švietimo paslaugų plėtros
 programa (02)</t>
  </si>
  <si>
    <t xml:space="preserve">Patenkintų paraiškų proc. nuo visų gautų paraiškų </t>
  </si>
  <si>
    <t>97</t>
  </si>
  <si>
    <t>52</t>
  </si>
  <si>
    <t>Sutvarkytų miesto šaligatvių skaičius kv. m.</t>
  </si>
  <si>
    <t>9</t>
  </si>
  <si>
    <t xml:space="preserve">Užtikrinta Visagino viešosios bibliotekos veikla </t>
  </si>
  <si>
    <t>Drabužių įsigijimas, komandiruotės kolektyvų
vadovams, instrumentai, atributika</t>
  </si>
  <si>
    <t>"Lietuvos kodas" TV projektas</t>
  </si>
  <si>
    <t xml:space="preserve">Užtikrinta Visagino kultūros centro veikla </t>
  </si>
  <si>
    <t xml:space="preserve">Priemonė bus įgyvendinama pagal poreikį </t>
  </si>
  <si>
    <t>Visagino savivaldybės 2023 metų konsoliduotųjų ataskaitų rinkinio, savivaldybės lėšų ir turto naudojimo, savivaldybės rinkliavų veiklos ir viešojo sektoriaus subjekto/įmonės veiklos auditai</t>
  </si>
  <si>
    <t>Socialinę priežiūrą šeimoms  teikia atvejo vadybininkai, socialiniai darbuotojai ir  individualios priežiūros darbuotojai.</t>
  </si>
  <si>
    <t xml:space="preserve">Vadovaujantis Lietuvos Respublikos socialinės paramos mokiniams įstatymu mokiniams, kurių vidutinės bendrai gyvenančių asmenų pajamos vienam asmeniui per mėnesį mažesnės kaip 1,5 VRP, išimties atvejais mažesnės kaip 2 VRP arba 2,5 VRP, skiriamas nemokamas maitinimas mokykloje. Įgyvendinant šią priemonę dalyvauja: lopšelis-darželis „Auksinis raktelis“, lopšelis-darželis „Kūlverstukas“, lopšelis-darželis „Gintarėlis“, lopšelis-darželis „Ąžuoliukas“, Visagino „Žiburio“ pagrindinė mokykla, Visagino „Atgimimo“ gimnazija, Visagino Draugystės progimnazija, Visagino „Gerosios vilties“ progimnazija, Visagino „Verdenės“ gimnazija.  Mokinai, kurie mokosi mokyklose pagal priešmokyklinio ugdymo programą ir pagal pradinio ugdymo programą pirmoje ir antroje klasėse, turi teisę į nemokamus pietus nevertinant pajamų. </t>
  </si>
  <si>
    <t>Vadovaujantis Lietuvos Respublikos socialinės paramos mokiniams įstatymu, mokiniams, kurių vidutinės bendrai gyvenančių asmenų pajamos vienam asmeniui per mėnesį mažesnės kaip 1,5 VRP, išimties atvejais mažesnės kaip 2 arba 2,5 VRP, skiriama 2 BSI dydžio parama mokinio reikmenims įsigyti.</t>
  </si>
  <si>
    <t xml:space="preserve">Savivaldybės neįgaliųjų ir pagyvenusių žmonių dalyvavimo visuomeniniame gyvenime užtikrinimas (siekiama suteikti galimybę palaikyti fizinį aktyvumą, gerinti sveikatą suteikiant galimybę naudotis sveikatą stiprinančiomis vandens procedūromis). Už šios priemonės įgyvendinimą atsakingas Visagino socialinių paslaugų centras. </t>
  </si>
  <si>
    <t>Vaikų, gavusių budinčiųjų globotojų paslaugas, skaičius</t>
  </si>
  <si>
    <t>Visagino savivaldybės taryba 2017 m. gegužės 31 d. sprendimu Nr. TS-96 patvirtino Asmens palaikų laidojimo iš Visagino savivaldybės biudžeto lėšų tvarkos aprašą ir 2019 m. gruodžio 19 d. sprendimu Nr. TS-297 Žmogaus palaikų gabenimo, saugojimo ir nenustatytos tapatybės žmogaus palaikų laidojimo organizavimo Visagino savivaldybėje tvarkos aprašą. Vadovaujantis šių aprašų nuostatomis Visagino savivaldybės administracija organizuoja ir apmoka mirusiųjų vežimą į  teismo medicinos ekspertizę bei atskirais atvejais ir už palaikų laidojimą.</t>
  </si>
  <si>
    <t>Užtikrinant vaikams, augantiems socialinę riziką patiriančiose šeimose, socialinių paslaugų teikimą teikiamos socialinės priežiūros paslaugos vaikų dienos centruose. Visagino savivaldybėje veikia 3 vaikų dienos centrai, kuriuose įsteigta po 25 vietas.</t>
  </si>
  <si>
    <t xml:space="preserve">Mažas pajamas turinčių šeimų, gaunančių būsto šildymo išlaidų ir išlaidų karštam vandeniui kompensacijas, skaičius   </t>
  </si>
  <si>
    <t>Socialinių išmokų ir kompensacijų skyrimas, mokėjimas ir administravimas</t>
  </si>
  <si>
    <t>90</t>
  </si>
  <si>
    <t>Vaikų skaičius (VSPC)</t>
  </si>
  <si>
    <t xml:space="preserve">Klientų skaičius </t>
  </si>
  <si>
    <t>26</t>
  </si>
  <si>
    <t xml:space="preserve">Įgyvendinant šią priemonę bus užtikrinta Visagino socialinių paslaugų centro veikla </t>
  </si>
  <si>
    <t xml:space="preserve">Įgyvendinant šią priemonę bus užtikrinta Visagino šeimos ir vaiko gerovės centro veikla </t>
  </si>
  <si>
    <t>Teikiamų socialinių paslaugų rūšių (bendrųjų socialinių paslaugų, socialinės priežiūros paslaugų, socialinės globos paslaugų ir kt. ) skaičius (vnt.)</t>
  </si>
  <si>
    <t xml:space="preserve">Paslaugų intelekto ir (ar) psichikos negalią turintiems asmenims vietų skaičius naujoje ar modernizuotoje infrastruktūroje, skaičius </t>
  </si>
  <si>
    <t>46</t>
  </si>
  <si>
    <t xml:space="preserve">Asmenų, turinčių intelekto ir (ar) psichikos negalią, gavusių paslaugas naujoje ar modernizuotoje infrastruktūroje skaičius per metus, asmenys per metus </t>
  </si>
  <si>
    <t xml:space="preserve">Projektą planuojama įgyvendinti 2021-2027 m. Europos Sąjungos investicijų programos lėšomis. Projekto veiklomis bus siekiama sukurti naujas paslaugas asmenims, turintiems intelekto ir (ar) psichikos negalią:
-	įkurti dienos centrą (su socialinėmis dirbtuvėmis), asmenims, turintiems intelekto ir (ar) psichikos negalią. Planuojama teikti dienos centro paslaugas, kurio bazėje bus įkurtos socialinės dirbtuvės;
-	įkurti grupinio gyvenimo namus (ne mažiau 10 vietų); 
- organizuoti apsaugoto būsto paslaugas;
- užtikrinti pagalbos organizavimą atvejo vadybos principu asmenims, turintiems specialiųjų poreikių, ir asmenims, kuriems specialieji poreikiai dėl ligos ar įgūdžių stokos nenustatyti, bet  jie yra patekę į socialinę atskirtį; 
-	organizuoti darbuotojų, dirbančių su tiksline grupe, kvalifikacijos tobulinimas ir praktinės stažuotės.
2024 m. planuojamas projektinių dokumentų rengimas. </t>
  </si>
  <si>
    <t xml:space="preserve">Priemonė neplanuojama įgyvendinti. </t>
  </si>
  <si>
    <t>Naujų arba modernizuotų socialinių būstų talpumas, asmenys</t>
  </si>
  <si>
    <t>P-06-01-03-12</t>
  </si>
  <si>
    <t>R-10-02-05-02</t>
  </si>
  <si>
    <t xml:space="preserve">Pasirašytų priežiūros paslaugų sutarčių skaičius </t>
  </si>
  <si>
    <t>315 724,76</t>
  </si>
  <si>
    <t>Surinktos atskirai išrūšiuotos atliekos, tonos per metus</t>
  </si>
  <si>
    <t>4505</t>
  </si>
  <si>
    <t>Įgyvendintos viešinimo kampanijos atliekų prevencijos ir tvarkymo temomis, skaičius</t>
  </si>
  <si>
    <t>R-08-01-01-15</t>
  </si>
  <si>
    <t>1764455,99</t>
  </si>
  <si>
    <t>529</t>
  </si>
  <si>
    <t>MK</t>
  </si>
  <si>
    <t xml:space="preserve">Švietimo pagalbos tarnyba </t>
  </si>
  <si>
    <t>Formaliojo ir neformaliojo švietimo paslaugų teikėjų (įstaigų, organizacijų, fizinių asmenų) skaičius</t>
  </si>
  <si>
    <t>Mokinių skaičius bendrojo ugdymo (toliau – BU) mokyklose</t>
  </si>
  <si>
    <t>Mokinių skaičius ikimokyklinio ugdymo įstaigose</t>
  </si>
  <si>
    <t>Mokinių skaičius neformaliojo švietimo įstaigose</t>
  </si>
  <si>
    <t>Ikimokykliniame ir priešmokykliniame ugdyme dalyvaujančių 3–5 metų vaikų dalis</t>
  </si>
  <si>
    <t>Savivaldybės mokyklose ugdomų 3–5 metų vaikų, kurių deklaruota gyvenamoji vieta kitoje savivaldybėje, dalis</t>
  </si>
  <si>
    <t>Neformaliojo švietimo programų teikėjų skaičius savivaldybėje</t>
  </si>
  <si>
    <t>Vienai sąlyginei mokytojo pareigybei tenkančių mokinių skaičius BU mokyklose</t>
  </si>
  <si>
    <t>Bendrojo ugdymo mokyklų 1–8 klasių komplektų, kurie yra jungtiniai, dalis (neįskaičiuojant specialiųjų klasių / grupių)</t>
  </si>
  <si>
    <t>Bendrojo ugdymo mokyklų klasių komplektų, kuriuose yra mažiau kaip 8 mokiniai, dalis (neįskaičiuojant specialiųjų klasių / grupių)</t>
  </si>
  <si>
    <t>Naujai komplektuojamų priešmokyklinio ugdymo grupių, kuriose yra ne daugiau kaip 20 mokinių, dalis (neįskaičiuojant specialiųjų klasių / grupių)</t>
  </si>
  <si>
    <t>Naujai komplektuojamų bendrojo ugdymo mokyklų bendrosios paskirties 1 klasių komplektų, kuriuose yra ne daugiau kaip 24 mokiniai, dalis (neįskaičiuojant specialiųjų klasių / grupių) nuo bendro visų klasių / grupių skaičiaus</t>
  </si>
  <si>
    <t>bendrojo ugdymo mokyklose</t>
  </si>
  <si>
    <t>ikimokyklinio ugdymo įstaigose</t>
  </si>
  <si>
    <t>neformalaus švietimo įstaigose</t>
  </si>
  <si>
    <t>Rodiklio pavadinimas</t>
  </si>
  <si>
    <t>Duomenų teikimo data</t>
  </si>
  <si>
    <t>Duomenų šaltinis</t>
  </si>
  <si>
    <t>Demografiniai rodikliai</t>
  </si>
  <si>
    <t>Gimimų skaičius Visagino savivaldybėje (skaičiuojant tik gimusius Lietuvoje)</t>
  </si>
  <si>
    <t>Sausio 1 d.</t>
  </si>
  <si>
    <t>Skaičius</t>
  </si>
  <si>
    <t>LR statistikos departamento Oficialiosios statistikos portalas</t>
  </si>
  <si>
    <t>Socialiniai rodikliai</t>
  </si>
  <si>
    <t>2.1.</t>
  </si>
  <si>
    <t>Socialinės rizikos šeimų, auginančių vaikus, skaičius</t>
  </si>
  <si>
    <t>Spalio 1 d.</t>
  </si>
  <si>
    <t>Socialinės paramos skyrius</t>
  </si>
  <si>
    <t>2.2.</t>
  </si>
  <si>
    <t>Vaikų, augančių socialinės rizikos šeimose, skaičius</t>
  </si>
  <si>
    <t>2.3.</t>
  </si>
  <si>
    <t>Vaikų, gaunančių nemokamą maitinimą, skaičius</t>
  </si>
  <si>
    <t>2.4.</t>
  </si>
  <si>
    <t>Pavežamų bendrojo ugdymo mokyklų mokinių skaičius</t>
  </si>
  <si>
    <t>Vietinio ūkio valdymo ir statybos skyrius</t>
  </si>
  <si>
    <t>Švietimo aplinkos rodikliai</t>
  </si>
  <si>
    <t>3.1.</t>
  </si>
  <si>
    <t>Rugsėjo 1 d.</t>
  </si>
  <si>
    <t>Švietimo ir mokslo institucijų registras (toliau – ŠMIR)</t>
  </si>
  <si>
    <t>3.2.</t>
  </si>
  <si>
    <t>ŠMIR</t>
  </si>
  <si>
    <t>3.3.</t>
  </si>
  <si>
    <t>Švietimo valdymo informacinė sistema (toliau – ŠVIS)</t>
  </si>
  <si>
    <t>3.4.</t>
  </si>
  <si>
    <t>ŠVIS</t>
  </si>
  <si>
    <t>3.5.</t>
  </si>
  <si>
    <t>ŠVIS, Mokinių registras (toliau – MR)</t>
  </si>
  <si>
    <t>3.6.</t>
  </si>
  <si>
    <t>ŠVIS, Pedagogų registras (toliau – PR)</t>
  </si>
  <si>
    <t>3.7.</t>
  </si>
  <si>
    <t>Procentai</t>
  </si>
  <si>
    <t>3.8.</t>
  </si>
  <si>
    <t>3.9.</t>
  </si>
  <si>
    <t>3.10.</t>
  </si>
  <si>
    <t>Personalo rodikliai</t>
  </si>
  <si>
    <t>4.1.</t>
  </si>
  <si>
    <t>Pedagogų registras, ŠVIS</t>
  </si>
  <si>
    <t>4.1.1.</t>
  </si>
  <si>
    <t>4.1.2.</t>
  </si>
  <si>
    <t>4.1.3.</t>
  </si>
  <si>
    <t>4.2.</t>
  </si>
  <si>
    <t>Daugiau kaip 2 metų pedagoginio darbo stažą turinčių darbuotojų dalis</t>
  </si>
  <si>
    <t>4.2.1.</t>
  </si>
  <si>
    <t>4.2.2.</t>
  </si>
  <si>
    <t>4.2.3.</t>
  </si>
  <si>
    <t>4.3.</t>
  </si>
  <si>
    <t>Švietimo įstaigų, kuriose nėra nuolatinio vadovo daugiau kaip 12 mėnesių, dalis nuo bendro švietimo įstaigų skaičiaus</t>
  </si>
  <si>
    <t>Švietimo, kultūros, sporto ir valstybinės kalbos kontrolės skyrius</t>
  </si>
  <si>
    <t>4.4.</t>
  </si>
  <si>
    <t>PR, Finansų ir biudžeto skyrius</t>
  </si>
  <si>
    <t>Ikimokyklinio ugdymo rodikliai</t>
  </si>
  <si>
    <t>5.1.</t>
  </si>
  <si>
    <t>5.2.</t>
  </si>
  <si>
    <t>5.3.</t>
  </si>
  <si>
    <t>Pagalbos mokiniui teikimo rodikliai</t>
  </si>
  <si>
    <t>6.1.</t>
  </si>
  <si>
    <t>6.2.</t>
  </si>
  <si>
    <t>6.3.</t>
  </si>
  <si>
    <t>Mokinių registras</t>
  </si>
  <si>
    <t>6.4.</t>
  </si>
  <si>
    <t>Mokinių, turinčių specialiųjų ugdymosi poreikių,  ugdomų integruotai bendrosios paskirties mokyklose, dalis</t>
  </si>
  <si>
    <t>6.5.</t>
  </si>
  <si>
    <t>Negalią turinčių mokinių dalis nuo mokinių, turinčių specialiųjų ugdymosi poreikių, ugdomų integruotai bendrosios paskirties mokyklose</t>
  </si>
  <si>
    <t>Neformalaus švietimo ir vaikų vasaros užimtumo rodikliai</t>
  </si>
  <si>
    <t>7.1.</t>
  </si>
  <si>
    <t>Neformaliojo švietimo veikloje dalyvaujančių mokinių dalis</t>
  </si>
  <si>
    <t>Mokinių registras; ŠVIS</t>
  </si>
  <si>
    <t>7.2.</t>
  </si>
  <si>
    <t>Bent vienoje neformalaus švietimo programoje dalyvaujančių bendrojo ugdymo mokyklų mokinių skaičius</t>
  </si>
  <si>
    <t>7.3.</t>
  </si>
  <si>
    <t>Bent vienoje NVŠ tikslinio finansavimo (valstybės biudžeto lėšų) programoje dalyvaujančių BU mokyklų mokinių skaičius</t>
  </si>
  <si>
    <t>Mokinių registras NVŠ finansavimo sritis</t>
  </si>
  <si>
    <t>7.4.</t>
  </si>
  <si>
    <t>Programų, įgyvendintų organizuojant vaikų vasaros poilsį, skaičius</t>
  </si>
  <si>
    <t>Administracijos direktoriaus įsakymu patvirtintas programų sąrašas; Mokinių registras; programų vykdytojų ataskaitos</t>
  </si>
  <si>
    <t>7.5.</t>
  </si>
  <si>
    <t>Mokinių, dalyvavusių vaikų vasaros poilsio programose, skaičius</t>
  </si>
  <si>
    <t>Švietimo rezultatų rodikliai</t>
  </si>
  <si>
    <t>8.1.</t>
  </si>
  <si>
    <t>Pagrindinio ugdymo pasiekimų patikrinimo metu bent pagrindinį mokymosi pasiekimų lygį pasiekusių mokinių dalis (lietuvių kalba, matematika)</t>
  </si>
  <si>
    <t>Švietimo duomenų perdavimo sistema (toliau – KELTAS)</t>
  </si>
  <si>
    <t>8.2.</t>
  </si>
  <si>
    <t>Tris ir daugiau valstybinių brandos egzaminų išlaikiusių abiturientų dalis</t>
  </si>
  <si>
    <t>KELTAS</t>
  </si>
  <si>
    <t>Švietimo pagalbos specialistų, tenkančių 100-ui bendrojo ugdymo mokyklų mokinių</t>
  </si>
  <si>
    <t>P-02-01-03-03</t>
  </si>
  <si>
    <t>Pasiruošimas Dainų šventei (drabužių įsigijimas,
komandiruotės kolektyvų vadovams, instrumentai)</t>
  </si>
  <si>
    <t>Velykinių kompozicijų kūrimas, dirbtuvių organizavimas suaugusiems (T), Tarptautinė vaikų gynimo diena, kūribinės dirbtuvės šeimoms (T)</t>
  </si>
  <si>
    <t>Profesionalaus meno sklaida, menininkų rezidencijos, parodos. Metų nominacijų šventė "Mano miestas - Visaginas", Meno kolektyvų jubiliejai: Rusų folkloro ansamblis "Bylina" ir vaikų rusų folkloro sansamblis "Žavoronok" - 30 m.; Folkloro ansamblis "Krusnė" - 15 m.; senjorų choras "Melodija" - 25 m.; Vyresniųjų liaudiškų šokių grupė "Gervė" - 15 m. Studijos: dekupažas - 15 m., mezgimas - 15 m.</t>
  </si>
  <si>
    <t>Tarptautinis kantri muzikos festivalis "Visagino Country", Dalyvavimas tarptautiniuose,
respublikiniuose, regioniniuose renginiuose, konkursuose, atstovavimas savivaldybei</t>
  </si>
  <si>
    <t>Visagino erdvių festivalis, Šiuolaikinio cirko festivalis "Naujojo cirko stotelė", Tarptautinis monospektaklių festivalis „Atspindys“, Senjorų šokių festivalis "Laiko karoliai"</t>
  </si>
  <si>
    <t>Įgyvendinant priemonę bus įgyvendinamos Lietuvos Respublikos užsienio reikalų ministro  2021 m. gruodžio 27 d. įsakymu Nr. V-550 "Dėl Lietuvos diasporos politikos strateginių gairių „Globali Lietuva“ 2022‒2030 m. patvirtinimo", patvirtintos Lietuvos diasporos politikos strateginių gairių „Globali Lietuva“ 2022‒2030 m." nuostatos, o numatytos įgyvendinti priemonės bus įtrauktos į Lietuvos diasporos politikos strateginių gairių „Globali Lietuva“ 2022‒2030 m. įgyvendinimo veiksmų planą 2024–2026 m.</t>
  </si>
  <si>
    <t>1.4. Europos Sąjungos ir kitos tarptautinės finansinės paramos lėšos (ES, EGDAP)</t>
  </si>
  <si>
    <t>Fizinio aktyvumo ir sporto 
plėtros programa (03)</t>
  </si>
  <si>
    <t>Gyventojų kultūrinio aktyvumo skatinimo ir identiteto stiprinimo programa (04)</t>
  </si>
  <si>
    <t>Bendruomeniškumo 
skatinimo programa (05)</t>
  </si>
  <si>
    <t>Socialinės paramos programa (06)</t>
  </si>
  <si>
    <t>Sveikatos apsaugos paslaugų kokybės gerinimo programa (07)</t>
  </si>
  <si>
    <t>Aplinkos apsaugos programa (08)</t>
  </si>
  <si>
    <t>Ekonominės plėtros programa (09)</t>
  </si>
  <si>
    <t>Viešosios infrastruktūros 
programa (10)</t>
  </si>
  <si>
    <t>Gerinti  teikiamų paslaugų kokybę, didinti jų prieinamumą ir patrauklumą, tinkamai organizuojant savivaldybės administravimo subjektams  priskirtų funkcijų įgyvendinimą</t>
  </si>
  <si>
    <t xml:space="preserve">Tarybos narių veiklos organizavimas </t>
  </si>
  <si>
    <t>32</t>
  </si>
  <si>
    <t>Užtikrintas</t>
  </si>
  <si>
    <t xml:space="preserve">1 programa </t>
  </si>
  <si>
    <t xml:space="preserve">2 programa </t>
  </si>
  <si>
    <t xml:space="preserve">3 programa </t>
  </si>
  <si>
    <t>4 programa</t>
  </si>
  <si>
    <t>5 programa</t>
  </si>
  <si>
    <t>7 programa</t>
  </si>
  <si>
    <t xml:space="preserve">8 programa </t>
  </si>
  <si>
    <t xml:space="preserve">9 programa </t>
  </si>
  <si>
    <t xml:space="preserve">10 programa </t>
  </si>
  <si>
    <t>Programos uždavinio, 
priemonės kodas ir požymis</t>
  </si>
  <si>
    <t>Uždavinio, priemonės pavadinimas, finansavimo šaltiniai</t>
  </si>
  <si>
    <t>01.01.01. (T)</t>
  </si>
  <si>
    <t>01.01.01.01 (TP)</t>
  </si>
  <si>
    <t>01.01.01.02 (TP)</t>
  </si>
  <si>
    <t>01.01.01.03 (TP)</t>
  </si>
  <si>
    <t>01.01.01.04 (TP)</t>
  </si>
  <si>
    <t>01.01.02.01 (TP)</t>
  </si>
  <si>
    <t>01.01.02 (T)</t>
  </si>
  <si>
    <t>01.01.03 (T)</t>
  </si>
  <si>
    <t>01.01.04. (T)</t>
  </si>
  <si>
    <t>01.01.05. (T)</t>
  </si>
  <si>
    <t>01.02.02. (T)</t>
  </si>
  <si>
    <t>01.02.03. (T)</t>
  </si>
  <si>
    <t>01.02.04. (T)</t>
  </si>
  <si>
    <t>Iš jo:
1.1. savivaldybės biudžeto lėšos (nuosavos, be ankstesnių metų likučio)</t>
  </si>
  <si>
    <t>Iš jų: regioninių pažangos priemonių lėšos</t>
  </si>
  <si>
    <t>2025 m. asignavimai ir kitos lėšos, tūkst. Eur</t>
  </si>
  <si>
    <t>2024  m.asignavimai ir kitos lėšos, tūkst. Eur</t>
  </si>
  <si>
    <t>Savivaldybės strateginio plėtros plano priemonės kodas</t>
  </si>
  <si>
    <t>Įgyvendinti Visagino savivaldybės 
korupcijos prevencijos 2022-2024 metų veiksmų planą</t>
  </si>
  <si>
    <t>Užtikrinti efektyvų savivaldybei nuosavybės teise priklausančio nekilnojamojo  turto naudojimą, įmonių bei įstaigų valdymą</t>
  </si>
  <si>
    <t>02.01.01.01. (TP)</t>
  </si>
  <si>
    <t>02.01.01.02. (TP)</t>
  </si>
  <si>
    <t>02.01.02.01. (TP)</t>
  </si>
  <si>
    <t>02.01.02.02. (TP)</t>
  </si>
  <si>
    <t>02.01.02.03. (TP)</t>
  </si>
  <si>
    <t>02.01.02.04. (TP)</t>
  </si>
  <si>
    <t>02.01.02.05. (TP)</t>
  </si>
  <si>
    <t>02.01.02.06. (TP)</t>
  </si>
  <si>
    <t>02.01.02.07. (TP)</t>
  </si>
  <si>
    <t>02.01.02.08. (TP)</t>
  </si>
  <si>
    <t>02.01.02.09. (TP)</t>
  </si>
  <si>
    <t>02.01.03.03 (PP)</t>
  </si>
  <si>
    <t>02.01.03.04 (PP)</t>
  </si>
  <si>
    <t>02.01.03.05 (PP)</t>
  </si>
  <si>
    <t>02.02.01.01. (TP)</t>
  </si>
  <si>
    <t>Savivaldybės strateginio
 plėtros plano priemonės kodas</t>
  </si>
  <si>
    <t>Sukurti įtraukias, tinklaveiką ir 
socialines inovacijas skatinančias, kiekvieno mokinio geresnius pasiekimus lemiančias ir šiuolaikiškas kokybiško ugdymo(si) sąlygas</t>
  </si>
  <si>
    <t>02.01.01. (T)</t>
  </si>
  <si>
    <t>02.01.02. (T)</t>
  </si>
  <si>
    <t>Organizuoti renginius, turinčius  įtakos ugdymo proceso kokybei, skirtus tęstiniam mokymuisi</t>
  </si>
  <si>
    <t>02.02.01. (T)</t>
  </si>
  <si>
    <t>03.01.01. (T)</t>
  </si>
  <si>
    <t>03.01.01.01. (TP)</t>
  </si>
  <si>
    <t>03.01.02. (T)</t>
  </si>
  <si>
    <t>03.01.02.01. (TP)</t>
  </si>
  <si>
    <t>03.01.02.02. (TP)</t>
  </si>
  <si>
    <t>03.01.02.03. (TP)</t>
  </si>
  <si>
    <t>03.01.02.04. (TP)</t>
  </si>
  <si>
    <t>03.01.02.06 (TP)</t>
  </si>
  <si>
    <t>03.01.02.08. (TP)</t>
  </si>
  <si>
    <t>04.01.01. (T)</t>
  </si>
  <si>
    <t>04.01.01.01. (TP)</t>
  </si>
  <si>
    <t>04.01.01.02. (TP)</t>
  </si>
  <si>
    <t>04.02.01. (T)</t>
  </si>
  <si>
    <t>Sąlygų Dainų švenčių tradicijos tęstinumui Visagino savivaldybėje sudarymas, mėgėjų meno kolektyvų pasirengimo ir dalyvavimo Dainų šventėse,  vietiniuose, regioniniuose, respublikiniuose ir tarptautiniuose renginiuose užtikrinimas, mėgėjų meną populiarinančių renginių organizavimas, tautinių mažumų kultūrų įvairovės pristatymas</t>
  </si>
  <si>
    <t>04.02.01.01. (TP)</t>
  </si>
  <si>
    <t>04.02.01.02. (TP)</t>
  </si>
  <si>
    <t>04.02.01.03. (TP)</t>
  </si>
  <si>
    <t>04.02.01.04. (TP)</t>
  </si>
  <si>
    <t>04.02.02.01. (TP)</t>
  </si>
  <si>
    <t>04.02.02.02. (TP)</t>
  </si>
  <si>
    <t>04.02.02.03. (TP)</t>
  </si>
  <si>
    <t>04.02.02.04. (TP)</t>
  </si>
  <si>
    <t>04.02.02.05. (TP)</t>
  </si>
  <si>
    <t>04.02.03.01. (TP)</t>
  </si>
  <si>
    <t>04.02.03.02. (TP)</t>
  </si>
  <si>
    <t>04.02.04. (T)</t>
  </si>
  <si>
    <t>04.02.04.01. (TP)</t>
  </si>
  <si>
    <t>04.02.04.02. (TP)</t>
  </si>
  <si>
    <t>04.02.04.03. (TP)</t>
  </si>
  <si>
    <t>2026 m. asignavimai ir kitos lėšos, tūkst. Eur</t>
  </si>
  <si>
    <t>05.01.01.01 (TP)</t>
  </si>
  <si>
    <t>05.01.01.02. (TP)</t>
  </si>
  <si>
    <t>05.01.01.03. (TP)</t>
  </si>
  <si>
    <t>05.01.01.04. (TP)</t>
  </si>
  <si>
    <t>05.01.01.05. (TP)</t>
  </si>
  <si>
    <t>05.01.01. (T)</t>
  </si>
  <si>
    <t>05.02.01. (T)</t>
  </si>
  <si>
    <t>05.02.01.01. (TP)</t>
  </si>
  <si>
    <t>05.02.01.02. (TP)</t>
  </si>
  <si>
    <t>05.02.01.03. (TP)</t>
  </si>
  <si>
    <t>05.02.01.04. (TP)</t>
  </si>
  <si>
    <t>05.03.01. (T)</t>
  </si>
  <si>
    <t>Kurti ir plėtoti saugią aplinką 
Visagino savivaldybėje</t>
  </si>
  <si>
    <t>05.03.01.01. (TP)</t>
  </si>
  <si>
    <t>05.03.01.02. (TP)</t>
  </si>
  <si>
    <t>05.03.01.03. (TP)</t>
  </si>
  <si>
    <t>05.03.01.04. (TP)</t>
  </si>
  <si>
    <t>05.04.01. (T)</t>
  </si>
  <si>
    <t>Skatinti bendruomenę 
dalyvauti prevencinėse ir šviečiamosiose veiklose</t>
  </si>
  <si>
    <t>05.04.01.01. (TP)</t>
  </si>
  <si>
    <t>05.05.01. (T)</t>
  </si>
  <si>
    <t xml:space="preserve">Įgyvendinti diasporos politikos  strategines gaires "Globali Lietuva" 2023-2030 m. </t>
  </si>
  <si>
    <t>06.01.01.01.  (TP)</t>
  </si>
  <si>
    <t>06.01.01 (T)</t>
  </si>
  <si>
    <t>06.01.02. (T)</t>
  </si>
  <si>
    <t>06.01.02.01. (TP)</t>
  </si>
  <si>
    <t>06.01.02.02. (TP)</t>
  </si>
  <si>
    <t>06.01.02.03. (TP)</t>
  </si>
  <si>
    <t>06.01.02.04. (TP)</t>
  </si>
  <si>
    <t>06.01.02.06. (TP)</t>
  </si>
  <si>
    <t>06.01.02.07.  (TP)</t>
  </si>
  <si>
    <t>06.01.02.08. (TP)</t>
  </si>
  <si>
    <t>06.01.02.09. (TP)</t>
  </si>
  <si>
    <t>06.01.02.10. (TP)</t>
  </si>
  <si>
    <t>06.01.02.11. (TP)</t>
  </si>
  <si>
    <t>06.01.03. (T)</t>
  </si>
  <si>
    <t>06.01.03.01. (TP)</t>
  </si>
  <si>
    <t>06.01.03.02. (TP)</t>
  </si>
  <si>
    <t>06.01.03.03. (TP)</t>
  </si>
  <si>
    <t>06.01.03.04. (TP)</t>
  </si>
  <si>
    <t>06.01.03.05. (TP)</t>
  </si>
  <si>
    <t>06.01.03.06. (TP)</t>
  </si>
  <si>
    <t>06.01.03.07. (TP)</t>
  </si>
  <si>
    <t>06.01.03.08. (TP)</t>
  </si>
  <si>
    <t>06.01.03.09. (TP)</t>
  </si>
  <si>
    <t>06.01.03.10. (TP)</t>
  </si>
  <si>
    <t>06.01.03.11. (TP)</t>
  </si>
  <si>
    <t>06.01.03.12. (PP)</t>
  </si>
  <si>
    <t>06.01.03.13. (TP)</t>
  </si>
  <si>
    <t>06.01.03.15. (TP)</t>
  </si>
  <si>
    <t>06.01.03.16. (TP)</t>
  </si>
  <si>
    <t>06.01.03.17. (TP)</t>
  </si>
  <si>
    <t>06.01.03.18. (TP)</t>
  </si>
  <si>
    <t>06.02.01. (T)</t>
  </si>
  <si>
    <t>06.02.01.01. (TP)</t>
  </si>
  <si>
    <t>06.02.01.03. (TP)</t>
  </si>
  <si>
    <t>06.02.01.04. (TP)</t>
  </si>
  <si>
    <t>06.02.01.06. (TP)</t>
  </si>
  <si>
    <t>06.02.01.07. (TP)</t>
  </si>
  <si>
    <t>06.02.01.08. (TP)</t>
  </si>
  <si>
    <t>06.02.01.10. (TP)</t>
  </si>
  <si>
    <t>06.02.01.11. (TP)</t>
  </si>
  <si>
    <t>07.01.01.01. (TP)</t>
  </si>
  <si>
    <t>07.01.01.02. (TP)</t>
  </si>
  <si>
    <t>07.01.01.03. (TP)</t>
  </si>
  <si>
    <t>07.01.01.04. (TP)</t>
  </si>
  <si>
    <t>07.01.01.05. (TP)</t>
  </si>
  <si>
    <t>07.01.01.06. (TP)</t>
  </si>
  <si>
    <t>07.01.01.07. (TP)</t>
  </si>
  <si>
    <t>07.01.01.08. (TP)</t>
  </si>
  <si>
    <t>07.01.01.09. (TP)</t>
  </si>
  <si>
    <t>07.01.02.04 (TP)</t>
  </si>
  <si>
    <t>07.01.03.01 (TP)</t>
  </si>
  <si>
    <t>07.01.01. (T)</t>
  </si>
  <si>
    <t>07.01.02. (T)</t>
  </si>
  <si>
    <t>2024  m. asignavimai ir kitos lėšos, tūkst. Eur</t>
  </si>
  <si>
    <t>08.01.01.(T)</t>
  </si>
  <si>
    <t>08.01.01.01. (TP)</t>
  </si>
  <si>
    <t>08.01.01.02. (TP)</t>
  </si>
  <si>
    <t>08.01.01.03. (TP)</t>
  </si>
  <si>
    <t>08.01.01.04. (TP)</t>
  </si>
  <si>
    <t>08.01.01.05. (TP)</t>
  </si>
  <si>
    <t>08.01.01.06. (TP)</t>
  </si>
  <si>
    <t>08.01.01.07. (PP)</t>
  </si>
  <si>
    <t>08.01.01.08. (TP)</t>
  </si>
  <si>
    <t>08.01.01.10. (TP)</t>
  </si>
  <si>
    <t>08.01.01.11. (TP)</t>
  </si>
  <si>
    <t>08.01.01.12. (TP)</t>
  </si>
  <si>
    <t>08.01.01.13. (TP)</t>
  </si>
  <si>
    <t>08.01.01.14. (PP)</t>
  </si>
  <si>
    <t>08.01.01.15. (PP)</t>
  </si>
  <si>
    <t>08.01.02. (T)</t>
  </si>
  <si>
    <t>08.01.02.01. (TP)</t>
  </si>
  <si>
    <t>08.01.03. (T)</t>
  </si>
  <si>
    <t>08.01.04. (T)</t>
  </si>
  <si>
    <t>08.01.05. (T)</t>
  </si>
  <si>
    <t xml:space="preserve">08.01.03.01. (TP) </t>
  </si>
  <si>
    <t>08.01.04.01. (TP)</t>
  </si>
  <si>
    <t>09.01.01. (T)</t>
  </si>
  <si>
    <t>09.01.01.03. (TP)</t>
  </si>
  <si>
    <t>09.01.01.04. (TP)</t>
  </si>
  <si>
    <t>09.01.01.05. (TP)</t>
  </si>
  <si>
    <t>09.01.01.06. (TP)</t>
  </si>
  <si>
    <t>09.01.01.08. (TP)</t>
  </si>
  <si>
    <t>09.01.01.09. (TP)</t>
  </si>
  <si>
    <t>09.02.01.01. (TP)</t>
  </si>
  <si>
    <t>09.02.01.02. (TP)</t>
  </si>
  <si>
    <t>09.02.01.03. (TP)</t>
  </si>
  <si>
    <t>09.02.02.01. (TP)</t>
  </si>
  <si>
    <t>09.02.02.02. (TP)</t>
  </si>
  <si>
    <t>09.02.02.03. (TP)</t>
  </si>
  <si>
    <t>09.02.02.04. (TP)</t>
  </si>
  <si>
    <t>09.02.03.01. (TP)</t>
  </si>
  <si>
    <t>09.02.03.02. (TP)</t>
  </si>
  <si>
    <t>09.02.03.03. (TP)</t>
  </si>
  <si>
    <t>09.02.03.05. (TP)</t>
  </si>
  <si>
    <t>09.02.03.06. (TP)</t>
  </si>
  <si>
    <t>09.03.01.05. (TP)</t>
  </si>
  <si>
    <t>09.03.01.06. (TP)</t>
  </si>
  <si>
    <t>09.03.01.07. (TP)</t>
  </si>
  <si>
    <t>09.03.01.08. (TP)</t>
  </si>
  <si>
    <t>09.03.02.01. (TP)</t>
  </si>
  <si>
    <t>09.03.02.02. (TP)</t>
  </si>
  <si>
    <t>09.03.02.03. (TP)</t>
  </si>
  <si>
    <t>09.03.02.07. (TP)</t>
  </si>
  <si>
    <t>09.02.01.(T)</t>
  </si>
  <si>
    <t>09.02.02. (T)</t>
  </si>
  <si>
    <t>Kurti aplinką, kuri sąlygotų investicijų 
pritraukimą</t>
  </si>
  <si>
    <t>09.02.03. (T)</t>
  </si>
  <si>
    <t>Plėsti turizmo, rekreacijos, 
poilsio ir paslaugų infrastruktūrą</t>
  </si>
  <si>
    <t>09.03.02. (T)</t>
  </si>
  <si>
    <t>Įgyvendinti funkcinės
 zonos Visagino, Ignalinos ir Zarasų rajonų savivaldybių teritorijose strategiją</t>
  </si>
  <si>
    <t>09.04.01. (P)</t>
  </si>
  <si>
    <t>09.04.01.01. (PP)</t>
  </si>
  <si>
    <t xml:space="preserve">Ekonominės plėtros programa  (09) </t>
  </si>
  <si>
    <t xml:space="preserve"> Valdymo tobulinimo programa  (01)</t>
  </si>
  <si>
    <t xml:space="preserve">Švietimo paslaugų plėtros programa (02) </t>
  </si>
  <si>
    <t>10.01.01.01. (TP)</t>
  </si>
  <si>
    <t>10.01.01.02. (TP)</t>
  </si>
  <si>
    <t>10.01.01.03. (TP)</t>
  </si>
  <si>
    <t>10.01.01.04. (TP)</t>
  </si>
  <si>
    <t>10.01.01 (T)</t>
  </si>
  <si>
    <t>10.01.02.04. (TP)</t>
  </si>
  <si>
    <t>10.01.02.06. (TP)</t>
  </si>
  <si>
    <t>10.01.02.08. (TP)</t>
  </si>
  <si>
    <t>10.01.02.09. (TP)</t>
  </si>
  <si>
    <t>10.01.02.10. (TP)</t>
  </si>
  <si>
    <t>10.01.02.11. (TP)</t>
  </si>
  <si>
    <t>10.01.02.14. (TP)</t>
  </si>
  <si>
    <t>10.02.03.01. (TP)</t>
  </si>
  <si>
    <t>10.02.03.03. (TP)</t>
  </si>
  <si>
    <t>10.02.03.09. (TP)</t>
  </si>
  <si>
    <t>10.02.03.11. (TP)</t>
  </si>
  <si>
    <t>10.02.04.01. (TP)</t>
  </si>
  <si>
    <t>10.02.04.02. (TP)</t>
  </si>
  <si>
    <t>10.02.04.03. (TP)</t>
  </si>
  <si>
    <t>10.02.04.04. (TP)</t>
  </si>
  <si>
    <t>10.02.04.06. (TP)</t>
  </si>
  <si>
    <t>10.02.04.07. (TP)</t>
  </si>
  <si>
    <t>10.02.05.01. (TP)</t>
  </si>
  <si>
    <t>10.02.05.02. (TP)</t>
  </si>
  <si>
    <t>10.02.06.01. (TP)</t>
  </si>
  <si>
    <t>10.02.07.01. (TP)</t>
  </si>
  <si>
    <t>10.03.01.01. (TP)</t>
  </si>
  <si>
    <t>10.03.01.02. (TP)</t>
  </si>
  <si>
    <t>10.03.01.03. (TP)</t>
  </si>
  <si>
    <t>10.03.01.04. (TP)</t>
  </si>
  <si>
    <t>10.03.01.05. (TP)</t>
  </si>
  <si>
    <t>10.03.01.06. (TP)</t>
  </si>
  <si>
    <t>10.03.01.07. (TP)</t>
  </si>
  <si>
    <t>10.03.01.09. (TP)</t>
  </si>
  <si>
    <t>10.03.01.10. (TP)</t>
  </si>
  <si>
    <t>10.03.02.03. (TP)</t>
  </si>
  <si>
    <t>10.03.02.04. (TP)</t>
  </si>
  <si>
    <t>10.03.03.01. (TP)</t>
  </si>
  <si>
    <t>10.03.04.01. (TP)</t>
  </si>
  <si>
    <t>10.03.05.01. (TP)</t>
  </si>
  <si>
    <t>10.03.05. (T)</t>
  </si>
  <si>
    <t>10.03.04.(T)</t>
  </si>
  <si>
    <t>Tvarkyti (likviduoti) turtą, 
Visagino savivaldybės tarybos  pripažintą netinkamu naudoti dėl fizinio ir funkcinio (technologinio) nusidėvėjimo</t>
  </si>
  <si>
    <t>10.03.03. (T)</t>
  </si>
  <si>
    <t>10.03.02. (T)</t>
  </si>
  <si>
    <t>10.03.01. (T)</t>
  </si>
  <si>
    <t>10.02.06. (T)</t>
  </si>
  <si>
    <t>10.02.07. (T)</t>
  </si>
  <si>
    <t>10.02.05.(T)</t>
  </si>
  <si>
    <t>10.02.04.(T)</t>
  </si>
  <si>
    <t>10.02.03.(T)</t>
  </si>
  <si>
    <t>10.01.02.(T)</t>
  </si>
  <si>
    <t xml:space="preserve">Viešosios infrastruktūros programa  (10) </t>
  </si>
  <si>
    <t xml:space="preserve">Fizinio aktyvumo ir sporto plėtros programa  (03) </t>
  </si>
  <si>
    <t xml:space="preserve">Visagino savivaldybės bendruomeniškumo skatinimo programa (05) </t>
  </si>
  <si>
    <t xml:space="preserve">Visagino savivaldybės sveikatos apsaugos paslaugų kokybės gerinimo programa (07) </t>
  </si>
  <si>
    <t xml:space="preserve">Aplinkos apsaugos programa (08) </t>
  </si>
  <si>
    <t>2.8.-1-1</t>
  </si>
  <si>
    <t>2.7.-3-1</t>
  </si>
  <si>
    <t>2.1.-5-3</t>
  </si>
  <si>
    <t>2.6-2-1</t>
  </si>
  <si>
    <t>2.8.-2-8</t>
  </si>
  <si>
    <t>3.3.-2-4</t>
  </si>
  <si>
    <t>1.1.-1-1</t>
  </si>
  <si>
    <t>Pritrauktų investuotojų skaičius</t>
  </si>
  <si>
    <t>2.8.-2-1</t>
  </si>
  <si>
    <t>2.8.3.1.</t>
  </si>
  <si>
    <t>2.1.3.1.</t>
  </si>
  <si>
    <t xml:space="preserve">2.1.4.1. </t>
  </si>
  <si>
    <t>2.1.1.1.</t>
  </si>
  <si>
    <t>2.1.1.2.</t>
  </si>
  <si>
    <t>2.1.2.1.</t>
  </si>
  <si>
    <t>2.1.-5-5</t>
  </si>
  <si>
    <t>Projekto įgyvendinimo terminas baigtas</t>
  </si>
  <si>
    <t xml:space="preserve">Projekto įgyvendinimo terminas baigtas
</t>
  </si>
  <si>
    <t>2.1.-5-2</t>
  </si>
  <si>
    <t>2.2-1-2</t>
  </si>
  <si>
    <t>Įstaigų sporto salių, kurios prieinamos sportuoti bendruomenės nariams, skaičius</t>
  </si>
  <si>
    <t>2.2-1-1</t>
  </si>
  <si>
    <t>Suorganizuotų sporto varžybų, švenčių, sąskrydžių, seminarų, „Sportas visiems“ ir kitų sporto renginių,  žaidynių  skaičius</t>
  </si>
  <si>
    <t>2.2-5-1</t>
  </si>
  <si>
    <t>2.3.6.3</t>
  </si>
  <si>
    <t xml:space="preserve"> Įgyvendintų priemonių skaičius </t>
  </si>
  <si>
    <t>2.3.-1-3</t>
  </si>
  <si>
    <t xml:space="preserve">Pritrauktų kultūros specialistų skaičius </t>
  </si>
  <si>
    <t>2.3.-3-2</t>
  </si>
  <si>
    <t xml:space="preserve">Įgyvendintų projektų  skaičius </t>
  </si>
  <si>
    <t>2.3.-5-4</t>
  </si>
  <si>
    <t xml:space="preserve">Kolektyvų, dalyvavusių regioniniuose renginiuose, skaičius </t>
  </si>
  <si>
    <t>2.3.1.</t>
  </si>
  <si>
    <t xml:space="preserve">2.3.2.1. </t>
  </si>
  <si>
    <t>2.3.4.1.</t>
  </si>
  <si>
    <t xml:space="preserve"> Veikiančių megėjų meno kolektyvų skaičius </t>
  </si>
  <si>
    <t>2.3.1.2.</t>
  </si>
  <si>
    <t xml:space="preserve"> Organizuotų tarptautinių festivalių skaičius </t>
  </si>
  <si>
    <t>2.3.5.3</t>
  </si>
  <si>
    <t xml:space="preserve"> Įgyvendintų projektų  skaičius </t>
  </si>
  <si>
    <t>2.3.-6-2</t>
  </si>
  <si>
    <t>2.7.-1-2</t>
  </si>
  <si>
    <t>Institucinio stiprinimo projektams finansavimą gavusių organizacijų skaičius per metus</t>
  </si>
  <si>
    <t>Renginių skaičius (vnt. per metus)</t>
  </si>
  <si>
    <t>2.6-2-2</t>
  </si>
  <si>
    <t xml:space="preserve"> Savanorių skaičius jaunimo ir su jaunimu 
dirbančiose organizacijose (ilgalaikių ir trumpalaikių) (asm.)</t>
  </si>
  <si>
    <t>2.6-1-1</t>
  </si>
  <si>
    <t xml:space="preserve"> Veikiančių jaunimo atvirų erdvių, jaunimo centrų skaičius (vnt.)</t>
  </si>
  <si>
    <t>2.8.-2-4</t>
  </si>
  <si>
    <t>Įdiegtų inovatyvių priemonių skaičius, vnt.</t>
  </si>
  <si>
    <t>2.8.-2-6</t>
  </si>
  <si>
    <t xml:space="preserve"> Atnaujintų / įdiegtų vaizdo stebėjimo sistemų skaičius</t>
  </si>
  <si>
    <t>2.8.-2-3</t>
  </si>
  <si>
    <t xml:space="preserve"> Gaisrų prevencijos programoje 
numatytų priemonių įgyvendinimas proc. nuo visų planuotų įgyvendinti</t>
  </si>
  <si>
    <t>2.5-1-6</t>
  </si>
  <si>
    <t xml:space="preserve"> Modernizuotų ir pritaikytų būstų skaičius </t>
  </si>
  <si>
    <t>2.8.-2-7</t>
  </si>
  <si>
    <t>Nevyriausybinių organizacijų organizavusių užsiėmimus diasporos atstovams skaičius</t>
  </si>
  <si>
    <t>2.7.-1-1</t>
  </si>
  <si>
    <t xml:space="preserve">Priimta sprendimų, turinčių tiesioginės įtakos nevyriausybinių ir bendruomeninių </t>
  </si>
  <si>
    <t>2.5</t>
  </si>
  <si>
    <t>2.5-1-1</t>
  </si>
  <si>
    <t>2.5.1.6</t>
  </si>
  <si>
    <t>2.5-1-8</t>
  </si>
  <si>
    <t>2.5.1.1.</t>
  </si>
  <si>
    <t>2.5.1.3.</t>
  </si>
  <si>
    <t>2.5.1.5.</t>
  </si>
  <si>
    <t>2.5.1.5</t>
  </si>
  <si>
    <t>2.7.-2-1</t>
  </si>
  <si>
    <t>Su nevyriausybinėmis organizacijomis pasirašytų paslaugų teikimo sutarčių skaičius</t>
  </si>
  <si>
    <t>2.5-1-11</t>
  </si>
  <si>
    <t>2.5-1-4</t>
  </si>
  <si>
    <t>3.1.3.</t>
  </si>
  <si>
    <t>3.1.3.2</t>
  </si>
  <si>
    <t>3.1.3.6.</t>
  </si>
  <si>
    <t>3.1.1.3.</t>
  </si>
  <si>
    <t>3.1.1.4.</t>
  </si>
  <si>
    <t xml:space="preserve"> Atnaujintų šaligatvių ir pėsčiųjų takų, dalis nuo visų takų (proc.)</t>
  </si>
  <si>
    <t>3.1.3.4.</t>
  </si>
  <si>
    <t>3.1.1.1.</t>
  </si>
  <si>
    <t>3.1.2.1.</t>
  </si>
  <si>
    <t>3.1.3.1.</t>
  </si>
  <si>
    <t>2.3.-3-1</t>
  </si>
  <si>
    <t>2.2-5-2</t>
  </si>
  <si>
    <t>Atnaujintų ir (arba) įrengtų stadionų, sporto aikštynų skaičius (vnt.)</t>
  </si>
  <si>
    <t>3.3.-2-3</t>
  </si>
  <si>
    <t>Modernizuotų pastatų dalis nuo visų viešųjų pastatų (priklausančių VSA) (proc.).</t>
  </si>
  <si>
    <t>Miesto viešųjų erdvių, kuriose įrengtos gyventojų poilsiui pritaikytos erdvės, skaičius (vnt.)</t>
  </si>
  <si>
    <t>3.2-1-3</t>
  </si>
  <si>
    <t>3.2.1.2.</t>
  </si>
  <si>
    <t>3.2.1.1.</t>
  </si>
  <si>
    <t>3.2.1.3.</t>
  </si>
  <si>
    <t>3.1.3.3.</t>
  </si>
  <si>
    <t>3.2.1.4.</t>
  </si>
  <si>
    <t xml:space="preserve">2.5.1. </t>
  </si>
  <si>
    <t>2.5-1-5</t>
  </si>
  <si>
    <t>2.5.1.7</t>
  </si>
  <si>
    <t>priemonė nebus įgyvendinama</t>
  </si>
  <si>
    <t>2.5.1.</t>
  </si>
  <si>
    <t>2.5-1-2</t>
  </si>
  <si>
    <t>Projektas „Viešosios infrastruktūros pertvarkymas moderniai žinių ekonomikai ir kūrybinėms industrijoms, sukuriant bendradarbystės erdves“</t>
  </si>
  <si>
    <t>Projektas "Socialinės, kūrybinės ekonomikos paslaugų ir prekybos vietų sukūrimas nuomai smulkiam verslui"</t>
  </si>
  <si>
    <t>Projekto įgyvendinimo metu planuojama sukurti ir įrengti vieningo architektūrinio dizaino paslaugų/prekybos paviljonų tinklą Visagino miesto erdvėse. 
Projekto tikslas – Inovatyvių socialinės, kūrybinės ekonomikos iniciatyvų įgyvendinimas, sukuriant socialinės, kūrybinės ekonomikos paslaugų ir prekybos vietas smulkiam verslui įsikurti.
Projekto uždaviniai:
- Vieningo dizaino paslaugų/prekybos paviljonų tinklo įrengimas Visagino miesto erdvėse;
- Verslumo skatinimo priemonių ir mechanizmo sukūrimas (skatinant kūrybinės industrijos ekonomiką, trumpinant maisto ir kitų produktų tiekimo grandinę, aktyvinant ir stiprinant vietos produktų gamintojų kompetencijas).
Tikslinės grupės: FZ VIZA gyventojai, VIZA regione veikiantys smulkūs verslininkai, individualią veiklą vykdantys asmenys, asmenys dirbantys pagal verslo liudijimus, socialiai pažeidžiamų grupių atstovai.</t>
  </si>
  <si>
    <t>Metinis konsoliduotų viešųjų paslaugų vartotojų skaičius, vartotojai per metus</t>
  </si>
  <si>
    <t>Projektas "Visagino ekonominės plėtros agentūros veiklos stiprinimas"</t>
  </si>
  <si>
    <t>Visagino ekonomikos plėtros  agentūros valdomo pastato, esančio Taikos pr. 7, Visagine, vidaus patalpų pritaikymas SVV poreikiams, darbo vietų suteikimo paslaugoms teikti.
Projekto tikslas – Bendradarbystės centro vidaus erdvių modernizavimas ir paslaugoms teikti reikalingo ploto didinimas bei pritaikymas SVV poreikiams.
Projekto uždaviniai:
- Pastato, adresu Taikos g. 7, Visaginas, vidaus patalpų rekonstravimas, praplečiant erdves, tinkamas darbo vietos suteikimo paslaugoms teikti;
-  Verslumo skatinimo programų palaikymas ir plėtra.
Tikslinės grupės: FZ VIZA gyventojai, VIZA regione veikiantys smulkūs verslininkai, individualią veiklą vykdantys asmenys, asmenys dirbantys pagal verslo liudijimus.</t>
  </si>
  <si>
    <t>Bendros verslumo skatinimo sistemos, orientuotos į  verslų kūrimą ir plėtojimą, kūrimas ir įgyvendinimas</t>
  </si>
  <si>
    <t>Sukurta verslumo skatinimo sistema VIZA regione</t>
  </si>
  <si>
    <t>Kartu su Ignalinos ir Zarasų rajono savivaldybėmis sukurti bendrą verslumo skatinimo sistemą VIZA regione, orientuotą į  verslų kūrimą ir plėtojimą regione</t>
  </si>
  <si>
    <t>P-1.1.2.1-1</t>
  </si>
  <si>
    <t>Užimtumo lygis (metinis) (proc.)</t>
  </si>
  <si>
    <t>Projektas „Visagino savivaldybės teritorijos (-ų) pritaikymas pramonės, komercijos, paslaugų verslo  investicijoms“</t>
  </si>
  <si>
    <t xml:space="preserve">Projekto tikslas – Investicijoms patrauklių pramoninių ir komercinių teritorijų suformavimas.
Projekto uždaviniai:
- Išvalyti teritorijas nuo senų/apleistų statinių;
- Privesti prie sklypų būtinas komunikacijas;
- Inventorizuoti investicijoms patrauklias teritorijas/objektus, skaitmenizuoti, sukurti IT sprendimus viešinimui. 
-Organizuoti viešinimo priemones, siekiant pritraukti investicijas.
Tikslinės grupės: investuotojai, verslas, FZ VIZA gyventojai. </t>
  </si>
  <si>
    <t>Projektas „Investicijų pritraukimo ir verslumo skatinimo institucinės ekosistemos sukūrimas “</t>
  </si>
  <si>
    <t xml:space="preserve">Projekto tikslas – Investicijų pritraukimo ir verslumo skatinimo institucinės ekosistemos sukūrimas 
Projekto uždaviniai:
- Bendradarbiavimo tarp savivaldybių investicijų pritraukimo srityje modelio parengimas;
- Bendradarbiavimo sistemos sukūrimas;
- Investicijų pritraukimo į funkcinę zoną strategijos parengimas ir įgyvendinimas;
- Skaitmenizuoti investicijoms patrauklias teritorijas/objektus ir susijusią infrastruktūrą VIZA regione, sukurti IT sprendimus pasiūlymų verslo įsikūrimui regione viešinimui;
-  Organizuoti viešinimo priemones, aktyvinant verslumą regione.
Tikslinės grupės: investuotojai, verslas, FZ VIZA gyventojai </t>
  </si>
  <si>
    <t>09.01.01.01.(PP)-01.</t>
  </si>
  <si>
    <t>09.01.01.01.(PP)-02.</t>
  </si>
  <si>
    <t>09.01.01.02.(PP)-01.</t>
  </si>
  <si>
    <t>09.01.01.02.(PP)-02.</t>
  </si>
  <si>
    <t>09.03.01.03.(PP)-01</t>
  </si>
  <si>
    <t>09.03.01.03. (PP)</t>
  </si>
  <si>
    <t>09.03.01.04.(PP)-01</t>
  </si>
  <si>
    <t>Projektas "Atominis Visaginas: branduolinės vietovės identiteto, branduolinio objekto materialinio ir nematerialaus paveldo išsaugojimas ir pritaikymas tvaraus turizmo plėtrai"</t>
  </si>
  <si>
    <t>Ignalinos AE valdymo pulto simuliatoriaus erdvių pritaikymas lankymui</t>
  </si>
  <si>
    <t>09.03.02.01. (TP)-01</t>
  </si>
  <si>
    <t>09.03.02.01. (TP)-02</t>
  </si>
  <si>
    <t xml:space="preserve">2023-03-10 VSA tarybos sprendimo Nr. TS-21 "Dėl Visagino savivaldybės ekonomikos ir investicijų augimo skatinimo savivaldybėje vystant turizmo plėtrą programos patvirtinimo" įgyvendinimo užtikrinimas </t>
  </si>
  <si>
    <t>Visagino savivaldybės administracija kartu su Projekto partneriu Daugpilio miesto savivaldybe 2023 m. kovo 27 d. pateikė paraišką pagal Interreg VI-A Latvia–Lithuania Programą 2021–2027 (toliau – LatLit programa), kurios siektini rezultatai atitinka LatLit programos IV prioriteto – „Ekonominis turizmo ir paveldo potencialas“. Numatoma projekto trukmė – 24 mėn. Planuojama projekto pradžia – 2024 m. I-II ketvirčiai. 
2023 m. lapkričio 10 d. buvo gautas iš Latvijos Respublikos aplinkos apsaugos ir regioninės plėtros ministerijos sprendimas Nr. 5-54/6462, kurio infromavo dėl Projekto finansavimo skyrimo.
Siekiant Projekto tikslo įgyvendinimo bus suremontuota slidinėjimo trasos infrastruktūra 1380 metrų (miško masyve, Visagine), įsigyti: keturratis su priekaba ir volu užtikrinant trasų paruošimą, 6 vnt. slidžių komplektai ir 6 vnt. rolerių, taip pat organizuojami mokymai dėl turizmo, bei bus filmuojami trumpi vaizdo įrašai apie Visagino ir Daugpilio žiemos turizmo veiklas ir skelbiami socialiniuose tinkluose.</t>
  </si>
  <si>
    <t>Projekto tikslas –  Paslaugų verslo centro su bendradarbystės erdvėmis sukūrimas, įkuriant patalpas darbo vietos suteikimo paslaugoms suteikti.
Projekto uždaviniai:
- Nenaudojamo pastato rekonstravimas, įkuriant  paslaugų verslo centrą su patalpomis darbo vietos suteikimo paslaugoms suteikti ir bendradarbystės erdvėmis;
- Daugiafunkcinio skaitmeninių ir kūrybinių industrijų atstovų tarpdisciplininės bendradarbystės centro strategijos ir veiklos dokumentų parengimas.
Tikslinės grupės: FZ VIZA gyventojai, VIZA regione veikiantys smulkūs verslininkai, individualią veiklą vykdantys asmenys, asmenys dirbantys pagal verslo liudijimus.</t>
  </si>
  <si>
    <t>09.03.02.01. (TP)-03</t>
  </si>
  <si>
    <t>09.01.01.01.(PP)-03.</t>
  </si>
  <si>
    <t>09.01.01.01.(PP)-04.</t>
  </si>
  <si>
    <t>P-1.1.1.3-1</t>
  </si>
  <si>
    <t>Teritorijų suformuotų ir pritaikytų verslo plėtrai, ha</t>
  </si>
  <si>
    <t>R-1.1.2-3</t>
  </si>
  <si>
    <t>Sukurti ir įgyvendint verslumo skatinimo programą</t>
  </si>
  <si>
    <t>P-09-01-01-01-01</t>
  </si>
  <si>
    <t>P-09-01-01-01-02</t>
  </si>
  <si>
    <t>P-09-01-01-01-03</t>
  </si>
  <si>
    <t>P-09-01-01-01-04</t>
  </si>
  <si>
    <t>P-09-01-01-02-01</t>
  </si>
  <si>
    <t>P-09-01-01-02-02</t>
  </si>
  <si>
    <t xml:space="preserve">Parengtų teritorijų planavimo dokumentų skaičius (vnt.) </t>
  </si>
  <si>
    <t>P-1.1.2.2-2</t>
  </si>
  <si>
    <t>Erdvių pritaikytų įrengti   darbo vietas kūrybinių industrijų sektoriuje skaičius (kv. m.)</t>
  </si>
  <si>
    <t>Sukurtos arba atkurtos teritorijos, naudojamos ekonominei, rekreacinei ar turizmo paskirčiai, ha</t>
  </si>
  <si>
    <t>P-1.1.1.3.15-15</t>
  </si>
  <si>
    <t>Įrengtų prekybos/paslaugų vietų skaičius (kv. m.)</t>
  </si>
  <si>
    <t xml:space="preserve">Įgyvendinant šią priemonę planuojama įgyvendinti 2017 m. gruodžio 15 d. Nacionalinėje regioninėje taryboje patvirtintos Lietuvos regioninės politikos Baltosios knygos darniai ir tvariai plėtrai 2017–2030 m. 2 uždavinį „Užtikrinti, kad darnus ir tvarus ekonomikos augimas būtų geografiškai subalansuotas“. Atsižvelgiant į tai, kad regionų sistema planuojama principu (3+2+5), Visagino savivaldybė priskiriama prie Utenos regioninio centro, kuriame didžiausias dėmesys skiriamas palaikyti specializuotas profesinio mokymo įstaigas, vystyti pramonės parkus, teikti investicinę pagalbą investicijų pritraukimui ir kt. Atsižvelgiant į tai, kad Visagino savivaldybėje veikia Visagino technologijos ir verslo profesinio mokymo centras, būtina užtikrinti bendradarbiavimą tarp Visagino technologijos ir verslo profesinio mokymo centro, regiono plėtros tarybos, savivaldybės, savivaldybės švietimo įstaigų  bei investuotojų.  Tuo tikslu planuojama organizuoti renginį, skirtą investuotojų pritraukimui. 
Priemonės įgyvendinimas prisidės prie Strateginio plėtros plano priemonių „Sąlygų asmenims profesijos kvalifikacijai tobulinti ir persikvalifikuoti sudarymas, sustiprinant ir  modernizuojant VTVPMC materialinę bazę, siekiant atliepti ketvirtosios pramonės revoliucijos „Pramonė 4.0“ ir kitus naujus darbo rinkos  poreikius“ ir „Dalyvavimo mokymosi visą gyvenimą veiklose didinimas: plėtojant inovatyvią, vieningą, asmeninio pasirinkimo galimybėmis ir darbo rinkos poreikiais grįstą mokymosi visą gyvenimą sistemą, apimančią įvairias profesinio orientavimo, mokymosi, kompetencijų ir kvalifikacijų pripažinimo galimybes besimokantiems, dirbantiems ir nedirbantiems asmenimis“  įgyvendinimo. </t>
  </si>
  <si>
    <t>Strateginėse verslo kryptyse veikiančių verslo subjektų skaičius, vnt.</t>
  </si>
  <si>
    <t>Modernizuota infrastruktūra, m</t>
  </si>
  <si>
    <t>1300</t>
  </si>
  <si>
    <t>09.03.01.01. (PP)</t>
  </si>
  <si>
    <t>09.03.01.01.(PP)-01</t>
  </si>
  <si>
    <t>09.03.01.01.(PP)-02</t>
  </si>
  <si>
    <t>Projektas EUI02-089 "NuLOC-ID (Nuclear Location Identity). 
Preservation and adaptation of the satellite city identity, material and immaterial heritage of the nuclear object to the development of sustainable tourism, transferring good practice and experience"</t>
  </si>
  <si>
    <t>Atominės energetikos aktualizavimas ir pritaikymas edukacijai bei turizmui (patalpų Balto g. 1, Visagine pertvarkymo koncepcijos, investicinės ir techninės dokumentacijos parengimas)</t>
  </si>
  <si>
    <t>P-09-03-01-01-01</t>
  </si>
  <si>
    <t>P-09-03-01-01-02</t>
  </si>
  <si>
    <t>Pritaikytų turizmo objektų lankymui skaičius</t>
  </si>
  <si>
    <t>Įkurtas modernus lankytojų centras</t>
  </si>
  <si>
    <t>P-1.2.3.1-1</t>
  </si>
  <si>
    <t>Visagino savivaldybės valdomų patalpų Balto g.1, Ramybės k., Visagino sav. transformavimas ir pritaikymas energetikos temos aktualizavimui ir pritaikymui edukacijai bei turizmui. 
Projektinis pasiūlymas pateiktas  European urban initiative programai. Jei būtų atrinkta idėja, būtų rengiamas projektas įgyvendinimui (2025-2028 m.)</t>
  </si>
  <si>
    <t>Įgyvendintų projektų  skaičius, vnt.</t>
  </si>
  <si>
    <t>P-1.2.2.1-1</t>
  </si>
  <si>
    <t>Sukurtų turizmo maršrutų skaičius</t>
  </si>
  <si>
    <t>09.03.01.04. (PP)</t>
  </si>
  <si>
    <t>09.03.01. (PP,TP)</t>
  </si>
  <si>
    <t xml:space="preserve">Sutvarkyti amfiteatrai, vnt. </t>
  </si>
  <si>
    <t>Įrengta viešųjų WC mieste</t>
  </si>
  <si>
    <t>18500</t>
  </si>
  <si>
    <t>Sutvarkyta/pritaikyta teritorijų, kv.m</t>
  </si>
  <si>
    <t>Parengtų edukacinių programų skaičius</t>
  </si>
  <si>
    <t>Kreipusiųjų į VšĮ Visagino turizmo plėtros centrą dėl viešųjų paslaugų suteikimo asmenų skaičius</t>
  </si>
  <si>
    <t>~2000</t>
  </si>
  <si>
    <t>~2500</t>
  </si>
  <si>
    <t>~3000</t>
  </si>
  <si>
    <t>1.1.-2-1</t>
  </si>
  <si>
    <t>1.1.-1-3</t>
  </si>
  <si>
    <t>6 proc.</t>
  </si>
  <si>
    <t>05.05.01.01. (TP)</t>
  </si>
  <si>
    <t xml:space="preserve">3.3.2. </t>
  </si>
  <si>
    <t>3.3.-2-2</t>
  </si>
  <si>
    <t>Skatinti bemotorio transporto pasirinkimą ir pėsčiųjų judumą</t>
  </si>
  <si>
    <t xml:space="preserve">Naikinama 
</t>
  </si>
  <si>
    <t>0,5</t>
  </si>
  <si>
    <t xml:space="preserve">2.1. </t>
  </si>
  <si>
    <t>2.1.-5-5
2.1.-6-2</t>
  </si>
  <si>
    <t>70</t>
  </si>
  <si>
    <t xml:space="preserve">Visagino savivbaldybės administracija </t>
  </si>
  <si>
    <t>2.6-2-4</t>
  </si>
  <si>
    <t>NVO, jaunimo ir su jaunimu 
dirbančių asmenų skaičius (vnt.)</t>
  </si>
  <si>
    <t>Aukšto meistriškumo sportininkų dalis nuo visų sportininkų Visagino savivaldybėje (proc.)</t>
  </si>
  <si>
    <t xml:space="preserve">~8000 </t>
  </si>
  <si>
    <t>2024  m.asignavimų poreikis</t>
  </si>
  <si>
    <t>Sudaryti kuo palankesnes sąlygas pradėti ir plėtoti verslą, skatinti jaunimo verslumą bei didinti gyventojų užimtumą</t>
  </si>
  <si>
    <t>1.1.2.</t>
  </si>
  <si>
    <t>Teritorijų, suformuotų ir pritaikytų verslo plėtrai, ha</t>
  </si>
  <si>
    <t>Parengtų teritorijų planavimo dokumentų skaičius (vnt.)</t>
  </si>
  <si>
    <t>1.1.2-3</t>
  </si>
  <si>
    <t>Sukurta ir palaikoma verslo informacinė bazė, vnt.</t>
  </si>
  <si>
    <t>1.1.-2-2</t>
  </si>
  <si>
    <t>1.1.-2</t>
  </si>
  <si>
    <t>Turistų, apsilankiusių VTPC, 
dalis sezono metu (gegužės–rugpjūčio mėn.), palyginti su bendruoju metiniu turistų skaičiumi (proc.)</t>
  </si>
  <si>
    <t>1.2.-3-1</t>
  </si>
  <si>
    <t>1.2.-2-1</t>
  </si>
  <si>
    <t>1.2.-3-2</t>
  </si>
  <si>
    <t>Verslo subjektų, teikiančių paslaugas daugiataučio kultūros paveldo srityje, skaičius</t>
  </si>
  <si>
    <t>1.2.-3-3</t>
  </si>
  <si>
    <t>1.2.-1-1</t>
  </si>
  <si>
    <t>1.1.1-1</t>
  </si>
  <si>
    <t>Užtikrinti turizmo informacijos sklaidą, skatinti turizmo plėtrą savivaldybėje</t>
  </si>
  <si>
    <t>Pantoninės prieplaukos didžiosios, esančios Visagino ežere remontas (būtina pilnai keisti medines lentas)</t>
  </si>
  <si>
    <t xml:space="preserve"> Stikloplastikinės vandens nusileidimo čiuožyklos Visagino ežero pakrantėje demontavimas ir naujos infrastruktūros įrengimas </t>
  </si>
  <si>
    <t>3.2-2-3</t>
  </si>
  <si>
    <t>Įgyvendintų priemonių skaičius, siekiant sustiprinti miesto urbanizuoto  kraštovaizdžio bendros erdvinės struktūros vieningumą, architektūros tapatumą ir savitumą</t>
  </si>
  <si>
    <t>Visagino viešosios bibliotekos renovacija : įtraukioji kultūra visiems, neprikalusomai nuo lyties, sveikatos būklės, socialinės padėties ir amžiaus</t>
  </si>
  <si>
    <t>3.3.1.</t>
  </si>
  <si>
    <t xml:space="preserve">3.3.4.1. </t>
  </si>
  <si>
    <t>Apsauginę funkciją atliekančių želdynų ir želdinių, tenkančių 1 gyventojui, plotas (kv. m)</t>
  </si>
  <si>
    <t>Įgyvendinta priemonių, skatinančių komunalinių atliekų 
rūšiuojamojo atliekų surinkimo pajėgumo plėtrą</t>
  </si>
  <si>
    <t xml:space="preserve">3.3.1.2. </t>
  </si>
  <si>
    <t xml:space="preserve">Parengtų projektų skaičius </t>
  </si>
  <si>
    <t xml:space="preserve">3.3.5.1. </t>
  </si>
  <si>
    <t xml:space="preserve">Įrengtų automatizuotų oro taršos stebėjimo stotelių skaičius, vnt.  </t>
  </si>
  <si>
    <t>3.3.-4-3</t>
  </si>
  <si>
    <t xml:space="preserve"> Sąmoningumą skatinančių kompanijų skaičius (vnt. per metus)</t>
  </si>
  <si>
    <t>3.3.-4-1</t>
  </si>
  <si>
    <t xml:space="preserve"> Įgyvendinta priemonių, skatinančių komunalinių atliekų rūšiajamojo atliekų surinkimo pajėgumo plėtrą</t>
  </si>
  <si>
    <t>3.3.-1-2</t>
  </si>
  <si>
    <t xml:space="preserve"> Savivaldybės įstaigų ir įmonių pastatų, kuriuose įrengtos alternatyvios energijos gamybos priemonės, skaičius (vnt.)</t>
  </si>
  <si>
    <t xml:space="preserve"> Įrengtų automatizuotų oro taršos stebėjimo stotelių skaičius, vnt.  </t>
  </si>
  <si>
    <t>3.3-5-1</t>
  </si>
  <si>
    <t>3.3-4-1</t>
  </si>
  <si>
    <t>3.3-3-3</t>
  </si>
  <si>
    <t xml:space="preserve">Paviršinių nuotekų surinkimo ir valymo sistemos srityje įgyvendintų priemonių skaičius </t>
  </si>
  <si>
    <t xml:space="preserve">3.3.-5 </t>
  </si>
  <si>
    <t>3.2-1-5</t>
  </si>
  <si>
    <t xml:space="preserve"> Įgyvendintų priemonių skaičius</t>
  </si>
  <si>
    <t>Įgyvendinta priemonių, skatinančių komunalinių atliekų rūšiuojamojo atliekų surinkimo pajėgumo plėtrą</t>
  </si>
  <si>
    <t> Ne daugiau kaip 
15 proc. visų susidariusių komunalinių atliekų (pagal svorį) šalinama sąvartyne</t>
  </si>
  <si>
    <t> Ne daugiau kaip 
10 proc. visų susidariusių komunalinių atliekų (pagal svorį) šalinama sąvartyne</t>
  </si>
  <si>
    <t>Ne daugiau kaip 
8 proc. visų susidariusių komunalinių atliekų (pagal svorį) šalinama sąvartyne</t>
  </si>
  <si>
    <t xml:space="preserve">Gerinti  investicinės aplinkos patrauklumą ir didinti ekonominį potencialą </t>
  </si>
  <si>
    <t>07.01.02.01 (TP)</t>
  </si>
  <si>
    <t>Vykdyti kryptingą darnaus judumo politiką savivaldybėje</t>
  </si>
  <si>
    <t xml:space="preserve">1.1. tikslas </t>
  </si>
  <si>
    <t xml:space="preserve">Viešųjų paslaugų teikimas bei Visagino savivaldybės turizmo rinkodaros plėtojimas  </t>
  </si>
  <si>
    <t>1.2. tikslas</t>
  </si>
  <si>
    <t>2.1. tikslas</t>
  </si>
  <si>
    <t xml:space="preserve"> Visagino progimnazijų erdvių pritaikymas negalią turinčių mokinių ugdymuisi įtraukiuoju būdu </t>
  </si>
  <si>
    <t>Visos dienos užimtumo erdvių sukūrimas Visagino bendrojo ugdymo mokyklose</t>
  </si>
  <si>
    <t>Visagino savivaldybės bendrojo ugdymo mokyklų tinklo pertvarkos priemonių planų kiekvienoje mokykloje įgyvendinimas</t>
  </si>
  <si>
    <t>2.2. tikslas</t>
  </si>
  <si>
    <t>Aplinkos ir viešųjų erdvių fizinio aktyvumo užsiėmimams pritaikymas</t>
  </si>
  <si>
    <t>Visagino savivaldybės ugdymo įstaigų vidaus ir lauko sporto infrastruktūros - sporto salių, aikštelių, stadionų - atnaujinimas ir (ar) plėtra</t>
  </si>
  <si>
    <t>2.3. tikslas</t>
  </si>
  <si>
    <t>Infrastruktūros, būtinos gyventojų kultūriniams poreikiams užtikrinti, esamos vidaus rekonstravimas ir/arba naujos statymas</t>
  </si>
  <si>
    <t>Visagino miesto muziejaus koncepcijos ir struktūros plėtojimas</t>
  </si>
  <si>
    <t>2.4. tikslas</t>
  </si>
  <si>
    <t>2.5. tikslas</t>
  </si>
  <si>
    <t>Socialinių paslaugų prieinamumo didinimas</t>
  </si>
  <si>
    <t>Socialinio  ir savivaldybės būsto prieinamumo visų socialinių grupių atstovams didinimas</t>
  </si>
  <si>
    <t>2.6. tikslas</t>
  </si>
  <si>
    <t xml:space="preserve"> Jaunimo teikiamų  projektų ir iniciatyvų finansavimas</t>
  </si>
  <si>
    <t>2.7. tikslas</t>
  </si>
  <si>
    <t>Asmens sveikatos priežiūros įstaigų paslaugų infrastruktūros bei įrangos, siekiant didesnės ir aukštesnės paslaugų aprėpties, įvairovės ir kokybės plėtojimas, modernizavimas ir atnaujinimas (Visagino sveikatos centro veiklos vystymas)</t>
  </si>
  <si>
    <t xml:space="preserve">2.8. tikslas </t>
  </si>
  <si>
    <t>Miesto vaizdo stebėjimo sistemos naujinimas ir plėtra</t>
  </si>
  <si>
    <t xml:space="preserve">3.1. tikslas </t>
  </si>
  <si>
    <t>Esamų šaligatvių ir pėsčiųjų takų infrastruktūros kokybės gerinimas</t>
  </si>
  <si>
    <t>Tinkamo miesto kelių tinklo darnos, saugumo ir kokybės užtikrinimas</t>
  </si>
  <si>
    <t>3.2. tikslas</t>
  </si>
  <si>
    <t>3.3. tikslas</t>
  </si>
  <si>
    <t>Individualių namų kvartalo vystymas (projektavimas)</t>
  </si>
  <si>
    <r>
      <t>2024</t>
    </r>
    <r>
      <rPr>
        <b/>
        <sz val="7"/>
        <color rgb="FF000000"/>
        <rFont val="Arial"/>
        <family val="2"/>
      </rPr>
      <t xml:space="preserve"> metų asignavimai ir kitos lėšos</t>
    </r>
  </si>
  <si>
    <r>
      <t>n</t>
    </r>
    <r>
      <rPr>
        <sz val="7"/>
        <color rgb="FF000000"/>
        <rFont val="Arial"/>
        <family val="2"/>
      </rPr>
      <t xml:space="preserve"> – pirmieji planuojamieji metai, </t>
    </r>
    <r>
      <rPr>
        <i/>
        <sz val="7"/>
        <color rgb="FF000000"/>
        <rFont val="Arial"/>
        <family val="2"/>
      </rPr>
      <t xml:space="preserve">n </t>
    </r>
    <r>
      <rPr>
        <sz val="7"/>
        <color rgb="FF000000"/>
        <rFont val="Arial"/>
        <family val="2"/>
      </rPr>
      <t xml:space="preserve">+ 1 – antrieji planuojamieji metai ir </t>
    </r>
    <r>
      <rPr>
        <i/>
        <sz val="7"/>
        <color rgb="FF000000"/>
        <rFont val="Arial"/>
        <family val="2"/>
      </rPr>
      <t xml:space="preserve">n </t>
    </r>
    <r>
      <rPr>
        <sz val="7"/>
        <color rgb="FF000000"/>
        <rFont val="Arial"/>
        <family val="2"/>
      </rPr>
      <t>+ 2 – tretieji planuojamieji metai.</t>
    </r>
  </si>
  <si>
    <t xml:space="preserve"> Naujai organizuotų vietinės reikšmės maršrutų skaičius</t>
  </si>
  <si>
    <t xml:space="preserve">Parengtų kreipimųsi bei organizuotų susitikimų su AB „Lietuvos geležinkeliai“ skaičius </t>
  </si>
  <si>
    <t>2.2.1.</t>
  </si>
  <si>
    <t xml:space="preserve"> Sporto varžybose ir sveikatingumo renginiuose dalyvavusių asmenų  skaičius, vnt. per metus</t>
  </si>
  <si>
    <t xml:space="preserve"> Kelių priežiūros ir plėtros programos lėšomis įgyvendintų priemonių skaičius</t>
  </si>
  <si>
    <t xml:space="preserve"> Elektromobilių įkrovimo prieigų skaičius (vnt.)</t>
  </si>
  <si>
    <t>Įrengtų automobilių stovėjimo 
vietų gatvių važiuojamojoje dalyje/pėsčiųjų perėjų skaičius</t>
  </si>
  <si>
    <t xml:space="preserve"> Pasirašytų autobusų stoties įveiklinimo  sutarčių skaičius </t>
  </si>
  <si>
    <t xml:space="preserve"> Įrengtų automobilių stovėjimo 
vietų gatvių važiuojamojoje dalyje/pėsčiųjų perėjų skaičius</t>
  </si>
  <si>
    <t>550</t>
  </si>
  <si>
    <t xml:space="preserve">Projekto veiklų įgyvendinimas baigtas 2023 m. </t>
  </si>
  <si>
    <t xml:space="preserve">Naikinama
</t>
  </si>
  <si>
    <t xml:space="preserve"> Įrengtų ir / ar atnaujintų vaikų žaidimų aikštelių skaičius (vnt.)</t>
  </si>
  <si>
    <t xml:space="preserve"> Plėsti, prižiūrėti ir modernizuoti teritorijas, įrengiant reikalingą infrastrukūrą</t>
  </si>
  <si>
    <t xml:space="preserve"> Miesto viešųjų erdvių, kuriose įrengtos gyventojų poilsiui pritaikytos erdvės) skaičius (vnt.)</t>
  </si>
  <si>
    <t xml:space="preserve"> Esančių žvyruotų kelių ilgis (km)</t>
  </si>
  <si>
    <t xml:space="preserve"> Išduotų statybos leidimų skaičius (vnt.)</t>
  </si>
  <si>
    <t xml:space="preserve"> Įrengta naujų kapinių plotų, ha </t>
  </si>
  <si>
    <t>Tvarkyti savivaldybės kaimiškųjų vietovių infrastruktūrą</t>
  </si>
  <si>
    <t>Namų, kuriuose pasiekta ne žemesnė kaip C pastato energinio naudingumo klasė ir skaičiuojamosios šilumos energijos sąnaudos sumažintos ne mažiau kaip 40 proc., skaičius</t>
  </si>
  <si>
    <t>Surinkta lėšų, pagal Visagino savivaldybės tarybos, nustatytą infrastruktūros plėtros įmoką</t>
  </si>
  <si>
    <t>Visagino savivaldybės 2024-2026 m. infrastruktūros plėtros priemonių planas yra neatsiejama Visagino savivaldybės viešosios infrastruktūros plėtros programos dalis.</t>
  </si>
  <si>
    <t>Parengtų tarybos sprendimų nustatančių infrastruktūros plėtros įmoką skaičius</t>
  </si>
  <si>
    <t>3.3.-2-5</t>
  </si>
  <si>
    <t xml:space="preserve">Gerinti keleivių vežimo sąlygas bei skatinti darnesnį ir patogesnį judėjimą </t>
  </si>
  <si>
    <t>Savivaldybės ekonominės plėtros gairių specializacijų vystymas</t>
  </si>
  <si>
    <t>1.1-1</t>
  </si>
  <si>
    <t>10 000 Eur</t>
  </si>
  <si>
    <t>Naujų bendrosios praktikos slaugytojų pritraukimas ir įdarbinimas ne mažiau nei 2 bendrosios praktikos slaugytojų  per metus</t>
  </si>
  <si>
    <t>Atviros ekosistemos atsiskaitymams negrynaisiais pinigais bendrojo ugdymo įstaigų valgyklose kūrimas</t>
  </si>
  <si>
    <t>Karjeros specialistų tinklo vystymas</t>
  </si>
  <si>
    <t>Sudaryti sąlygas  ugdyti vaikus ikimokyklinėse, bendrojo lavinimosi ir neformalaus švietimo įstaigose pagal patvirtintas ugdymo programas, teikti pedagoginę, psichologinę, metodinę, aprūpinimo transportu ir kitą pagalbą mokiniams, mokytojams ir mokykloms</t>
  </si>
  <si>
    <t xml:space="preserve">Individualių namų kvartalo vystymas </t>
  </si>
  <si>
    <t>118 (2024-01-02 duomenimis)</t>
  </si>
  <si>
    <t>Švietimo pagalbos specialistų, tenkančių 100-ui ikimokyklinio ugdymo įstaigų mokinių</t>
  </si>
  <si>
    <t xml:space="preserve">21 darbuotojas, 2,77 proc. </t>
  </si>
  <si>
    <t>3 proc</t>
  </si>
  <si>
    <t>100 (270 mokinių turinčių spec. ugdymo poreikių)</t>
  </si>
  <si>
    <t>Savivaldybės 3–5 metų vaikų, ugdomų ne savivaldybės mokyklose, dalis proc.</t>
  </si>
  <si>
    <t>ŠVIS,Mokinių registras</t>
  </si>
  <si>
    <t>Naujai nutiestų dviračių takų ilgis (km)</t>
  </si>
  <si>
    <t>Įrengtų dviračių saugojimo ir dalinimosi aikštelių skaičius</t>
  </si>
  <si>
    <t>10.01.02.01. (PP)</t>
  </si>
  <si>
    <t>Viešosiose teritorijose įrengtų  automobilių stovėjimo aikštelių/perėjų skaičius</t>
  </si>
  <si>
    <t>10.02.03.02. (TP)</t>
  </si>
  <si>
    <t>Savivaldybės viešųjų pastatų, taikant energijos išteklių panaudojimo efektyvumo didinimo priemones, modernizavimas</t>
  </si>
  <si>
    <t xml:space="preserve">Parengtų investicinių projektų skaičius </t>
  </si>
  <si>
    <t xml:space="preserve"> </t>
  </si>
  <si>
    <t>05.01.01.06. (TP)</t>
  </si>
  <si>
    <t>Sutvarkytų bešeimininkių atliekų kiekis, t</t>
  </si>
  <si>
    <t xml:space="preserve">Projektą planuojama įgyvendinti 2021-2027 m.  Europos Sąjungos investicijų programos lėšomis.  Paraišką projekto finansavimui gauti planuojama teikti 2024  m. IV ketvirtyje. Planuojama, kad paraiška teiks UAB Utenos regiono atliekų tvarkymo centras. Visagino savivaldybės administracija bus projekto partneris.  Įgyvendinant projektą planuojamos šios veiklos:
1) Didelių gabaritų atliekų surinkimo aikštelės Visagino savivaldybėje, t. y. Taikos pr. 27, Visagine įrengimas;
2) Didelių gabaritų atliekų surinkimo aikštelėje Visagino savivaldybėje, t. y. Taikos pr. 27, Visagine, įrengti 1 uždaro tipo dalijimosi daiktais aikštelę. </t>
  </si>
  <si>
    <t>08.01.05.01. (PP)</t>
  </si>
  <si>
    <t>06.02.01.12. (PP)</t>
  </si>
  <si>
    <t>06.02.01.13. (PP)</t>
  </si>
  <si>
    <t>06.02.01.14. (PP)</t>
  </si>
  <si>
    <t>06.02.01.15. (PP)</t>
  </si>
  <si>
    <t>06.02.01.09. (PP)</t>
  </si>
  <si>
    <t>Paslaugų socialiai pažeidžiamiems, socialinę riziką (atskirtį) patiriantiems asmenims vietų skaičius naujoje ar modernizuotoje infrastruktūroje</t>
  </si>
  <si>
    <t xml:space="preserve">Projektą planuojama įgyvendinti 2021-2027 m. Europos Sąjungos investicijų programos lėšomis. Projekto metu planuojama modernizuoti Visagino socialinių paslaugų centro Bendruomenės skyriaus (SPK 18.7 p.), esančio adresų Vilties g. 1, Visagine, patalpas ir jas pritaikyti Visagino bendruomenės užimtumui, socialinei integracijai, vystyti ir teikti bendruomenės centro,  dienos centro senyvo amžiaus asmenims paslaugas..  Planuojama, kad 2024 m. bus bus pradėta  rengti dokumentacija, reikalinga projekto finansavimui gauti. 
</t>
  </si>
  <si>
    <t>Naujos arba modernizuotos socialinės rūpybos infrastruktūros (ne būsto) talpumas</t>
  </si>
  <si>
    <t>Naujos arba modernizuotos socialinės rūpybos infrastruktūros naudotojų skaičius per metus</t>
  </si>
  <si>
    <t>07.01.01.10. (PP)</t>
  </si>
  <si>
    <t>07.01.01.11. (PP)</t>
  </si>
  <si>
    <t>07.01.01.12. (PP)</t>
  </si>
  <si>
    <t xml:space="preserve">1 prioritetas </t>
  </si>
  <si>
    <t>Konkurencingo verslo skatinimas ir vietinės ekonomikos tvari plėtra</t>
  </si>
  <si>
    <t>2 prioritetas</t>
  </si>
  <si>
    <t>3 prioritetas</t>
  </si>
  <si>
    <t xml:space="preserve"> Tvarus, subalansuotas savivaldybės aplinkos vystymas ir plėtra</t>
  </si>
  <si>
    <t xml:space="preserve">Visagino savivaldybės administracija </t>
  </si>
  <si>
    <t xml:space="preserve">Savivaldybės taryba </t>
  </si>
  <si>
    <t xml:space="preserve">VšĮ Visagino edukacijų centras </t>
  </si>
  <si>
    <t xml:space="preserve">VšĮ Visagino sporto ir rekreacijos centras </t>
  </si>
  <si>
    <t xml:space="preserve">VšĮ Visagino futbo centras </t>
  </si>
  <si>
    <t>VšĮ Visagino krepšinio mokykla</t>
  </si>
  <si>
    <t xml:space="preserve">VšĮ Visagino graikų romėnų imtynių centras </t>
  </si>
  <si>
    <t>trenkturas, rali</t>
  </si>
  <si>
    <t>Kompensacija gyventojams 
už naudojimasi baseino paslaugomis</t>
  </si>
  <si>
    <t>19000 muziejaus skaitmeninei įrangai įsigyti
76000 muziejaus veiklai
5000 įsikūrimui</t>
  </si>
  <si>
    <t xml:space="preserve">VšĮ Visagino muziejus paskirties keitimas </t>
  </si>
  <si>
    <t xml:space="preserve">Visagino savivaldybės administarcija </t>
  </si>
  <si>
    <t>Nuo 2024 m. liepos 1 d. socialinių paslaugų planui įgyvendinti</t>
  </si>
  <si>
    <t>Organizuotų išvykų skaičius/Dalyvių skaičius</t>
  </si>
  <si>
    <t>26000 Eur šunų vedžiojimo aikštelės įrengimas, 40000 Eur Padėk man,
 kačių šėrimo vietų įrengimas 4000 Eur</t>
  </si>
  <si>
    <t>Jungtinės veiklos koordinatiaus veiklso užtikrinimas (VEPA)</t>
  </si>
  <si>
    <t xml:space="preserve">Kultūros centro, Atgimimo gimnazijos, Verdenės gimnazijos kabinetų išlaikymas </t>
  </si>
  <si>
    <t>95000 laiptai</t>
  </si>
  <si>
    <t xml:space="preserve">Visagino mechanizacija audito paslaugoms apmokėti </t>
  </si>
  <si>
    <t>Apleistų buvusių gimdymo namų komunalinių paslaugų apmokėjimas (Taikos pr. 15 D)</t>
  </si>
  <si>
    <t>2023-11-10  Pastatų šilumos punktų priežiūros paslaugų pirkimo-pardavimo sutartis Nr. 5-501</t>
  </si>
  <si>
    <t>2022-09-27 Pirkimo sutartis Nr.5-452 (Parko g. 14 statinio techninės priežiūros sutartis)</t>
  </si>
  <si>
    <t>2023-08-21 Pirkimo sutartis Nr.5-383  (Vilties g. 3, Draugystės g. 10, Taikos per. 15D, Taikos pr. 23,  statinio techninės priežiūros sutartis)</t>
  </si>
  <si>
    <t>Apleistų pastatų komunalinių paslaugų apmokėjimui (Draugystės g. 10, Vilties g. 3, Taikos pr. 23)</t>
  </si>
  <si>
    <t>Savivaldybės posėdžių sistemos modernizavimas (Taryba)</t>
  </si>
  <si>
    <t xml:space="preserve">Svetainėje www.visaginas.lt planuojama įdiegti skaitmeninį sprendimą leisiantį dalyvaujamo biudžeto balsavimą organizuoti skaitmeniniu būdu
</t>
  </si>
  <si>
    <t xml:space="preserve">Dokumentų valdymo siistemos modernizavimas </t>
  </si>
  <si>
    <t>Debesijos paslaugų įsigijimas ir/arba informacinių sistemų perkėlimas į valstybės duomenų centro debesiją</t>
  </si>
  <si>
    <t xml:space="preserve">Licencijų įsigijimas </t>
  </si>
  <si>
    <t xml:space="preserve">Turto valdymo, viešųjų pirkimo, turto inventarizacijos modulių įsigijimas </t>
  </si>
  <si>
    <t xml:space="preserve"> Kopijų saugojimo tarnybinės stoties įsigijimas</t>
  </si>
  <si>
    <t xml:space="preserve">administracijos personalo motyvavimo programos ir atostogų modulio įsigijimas </t>
  </si>
  <si>
    <t xml:space="preserve">Naujai įrengto ekrano aptarnavimas </t>
  </si>
  <si>
    <t xml:space="preserve">Naujas ekranas Sedulinos alėjoje </t>
  </si>
  <si>
    <t xml:space="preserve">Naujas Gervės ekranas </t>
  </si>
  <si>
    <t xml:space="preserve">Gyventojų informavimas (VSA) , vertimo paslaugos </t>
  </si>
  <si>
    <t>02.01.03.01 (PP)</t>
  </si>
  <si>
    <t>Kompleksinėms paslaugoms šeimai organizuoti (KOPA)</t>
  </si>
  <si>
    <t>06.02.01.05. (PP)</t>
  </si>
  <si>
    <t>06.01.03.14. (PP)</t>
  </si>
  <si>
    <t xml:space="preserve">VšĮ Visagino ekonomikos plėtros agentūra </t>
  </si>
  <si>
    <t xml:space="preserve">Aplinkos apsaugos lėšos </t>
  </si>
  <si>
    <t xml:space="preserve">Tarybos salės darbuotojų praplėtimas , tarybos posėdžių sekretoriaus vieta </t>
  </si>
  <si>
    <t>Ekrano demontavimas Sedulinos alėjoje  atsiskaitymas</t>
  </si>
  <si>
    <t>tarybos vertimas+spauda, viešinimas</t>
  </si>
  <si>
    <t>Užtikrinti profesinio orientavimo paslaugų teikimą įvairaus amžiaus mokiniams bendrojo ugdymo mokyklose</t>
  </si>
  <si>
    <t xml:space="preserve">Mero ir politinio pasitikėjimo valstybės tarnautojai </t>
  </si>
  <si>
    <t xml:space="preserve">Visagino kūrybos ir menų akakdemija </t>
  </si>
  <si>
    <t xml:space="preserve">Gerosios vilties progimnazijos direktorius </t>
  </si>
  <si>
    <t xml:space="preserve">Verdenės gimnazijos direktorius </t>
  </si>
  <si>
    <t xml:space="preserve">Švietimo pagalbos direktorius </t>
  </si>
  <si>
    <t>Visagino savivaldybės 2024 m. asignavimai iš valstybės biudžeto lėšų ir kitų dotacijų  (SD)</t>
  </si>
  <si>
    <t>Skirta ugdymo reikmėms finansuoti (MK)</t>
  </si>
  <si>
    <t>2024 m. Visagino savivaldybės asignavimai iš valstybės biudžeto specialios tikslinės dotacijos savivaldybių biudžetams lėšų SB (D)</t>
  </si>
  <si>
    <t>Visagino savivaldybės 2024 m. asignavimai iš valstybės biudžeto lėšų ir kitų dotacijų (SD)</t>
  </si>
  <si>
    <t>Savižudybių skaičius, tenkantis 100 tūkst. gyventojų</t>
  </si>
  <si>
    <t xml:space="preserve">Projektą planuojama įgyvendinti 2021-2027 m. Europos Sąjungos investicijų programos lėšomis. Projekto tikslas - mobiliųjų komandų aprūpinimas darbui reikalinga įranga ir priemonių komplektais bei automobiliais, stacionarinių slaugos paslaugų žmonėms, sergantiems Alzheimerio liga, senatvine demencija, bei paliatyviosios pagalbos paslaugų infrastruktūros plėtojimui ir modernizavimui; tikslinių ilgalaikės priežiūros paslaugų diegimui, ypač demencijos ir Alzheimerio ligų srityse, ir plėtojimui savivaldybių lygmenyje asmenims, kurie negali pasirūpinti savimi. 2024 m. bus analizuojama dokumentacija, siekiant 2025 m. pateikti paraišką ir gauti finansavimą projektui. </t>
  </si>
  <si>
    <t xml:space="preserve">nauja priemonė </t>
  </si>
  <si>
    <t xml:space="preserve">Neveiksnių asmenų būklės peržiūrėjimo užtikrinimui 
</t>
  </si>
  <si>
    <t>SB (AA)</t>
  </si>
  <si>
    <t>Šia programa siekiama užtikrinti kokybišką Visagino savivaldybės gyventojų sveikatos priežiūrą, sveikatos politikos įgyvendinimą savivaldybės lygiu. Programos vykdymas padeda tikslingai paskirstyti lėšas, skiriamas sveikatos priežiūrai.</t>
  </si>
  <si>
    <t>Šios programos tikslas – vykdyti savarankiškąsias savivaldybės (socialinių paslaugų planavimas ir teikimas, socialinių paslaugų įstaigų išlaikymas, socialinių pašalpų ir kompensacijų skaičiavimas ir mokėjimas, bendradarbiavimas su nevyriausybinėmis organizacijomis, sąlygų savivaldybės teritorijoje gyvenančių neįgaliųjų socialiniam integravimui į bendruomenę sudarymas) ir valstybines (valstybės perduotas savivaldybėms) funkcijas (socialinės globos teikimo asmenims su sunkia negalia užtikrinimas, išmokų skaičiavimas ir mokėjimas, mokinių nemokamo maitinimo, mokinių aprūpinimo mokinio reikmenimis administravimas).</t>
  </si>
  <si>
    <t xml:space="preserve">Projekto „Paslaugų, skatinančių ir efektyviai palaikančių globą šeimos aplinkoje, vystymas“ įgyvendinimas 
</t>
  </si>
  <si>
    <t>Projektas finansuojamas 2021–2027 metų laikotarpio Europos socialinio fondo ir savivaldybės biudžeto lėšų. Projekto  tikslas – užtikrinti Atvejo vadybos modelio taikymą asmenims, turintiems psichikos ir (ar) intelekto negalią, didinti jų socialinius ir darbinius įgūdžius, skatinti savarankiškumą ir gyvenimą bendruomenėje, atsižvelgiant į asmenų individualius poreikius, užimtumą atviroje darbo rinkoje.</t>
  </si>
  <si>
    <t>Viso</t>
  </si>
  <si>
    <t>Savivaldybės strateginio
plėtros plano priemonės kodas</t>
  </si>
  <si>
    <t>07.01.02.03 (PP)</t>
  </si>
  <si>
    <t>07.01.02.02 (PP)</t>
  </si>
  <si>
    <t>Projekto „VšĮ Visagino ligoninės infrastruktūros modernizavimas“ įgyvendinimas</t>
  </si>
  <si>
    <t>07.01.02.05 (PP)</t>
  </si>
  <si>
    <t>Nauja priemonė</t>
  </si>
  <si>
    <t xml:space="preserve">Įstaigų, kuriose teikiamos karjeros konsultavimo paslaugos, skaičius </t>
  </si>
  <si>
    <t xml:space="preserve">02.02.01.02. (TP)
</t>
  </si>
  <si>
    <t>Švietimas – prioritetinė valstybės remiama Lietuvos Respublikos raidos sritis. Švietimas turi įtakos Visagino kultūrinei, socialinei ir ekonominei pažangai. Šia programa siekiama laiduoti valstybės ir Visagino savivaldybės švietimo politikos įgyvendinimą, ugdymo kokybę, išsilavinimo standartus atitinkantį išsilavinimą, vaikų socialinį ir psichologinį saugumą, skatinti ir remti besimokančiųjų užimtumą; įgyvendinti priemones, numatytas Visagino savivaldybės strateginiame plėtros plane, Lietuvos Respublikos Vyriausybės bei ministerijų teisės aktuose.</t>
  </si>
  <si>
    <t xml:space="preserve">2.1.5. </t>
  </si>
  <si>
    <t>07.01.02.06 (PP)</t>
  </si>
  <si>
    <t>Mobilių komandų, aprūpintų reikiama įranga, skaičius</t>
  </si>
  <si>
    <t>Projektas vykdomas įgyvendinant Lietuvos Respublikos sveikatos apsaugos ministro  2022 m. gegužės 20 d. įsakyme Nr. V-988 „Dėl 2022–2030 metų plėtros programos valdytojos Lietuvos Respublikos sveikatos apsaugos ministerijos sveikatos priežiūros kokybės ir efektyvumo didinimo plėtros programos pažangos priemonės Nr. 11-002-02-11-01 „Gerinti sveikatos priežiūros paslaugų kokybę ir prieinamumą“ aprašo patvirtinimo“ numatytas veiklas“. Paraišką projekto įgyvendinimui planuojama teikti 2024 m. pradžioje. Viena mobili komanda, teikianti ambulatorinės slaugos paslaugas namuose, bus aprūpinta reikiama įranga ir transporto priemone, skirta paslaugų teikimo užtikrinimui.</t>
  </si>
  <si>
    <t>Projektas vykdomas įgyvendinant Lietuvos Respublikos sveikatos apsaugos ministro  2022 m. gegužės 20 d. įsakyme Nr. V-988 „Dėl 2022–2030 metų plėtros programos valdytojos Lietuvos Respublikos sveikatos apsaugos ministerijos sveikatos priežiūros kokybės ir efektyvumo didinimo plėtros programos pažangos priemonės Nr. 11-002-02-11-01 „Gerinti sveikatos priežiūros paslaugų kokybę ir prieinamumą“ aprašo patvirtinimo“ numatytas veiklas“. Paraišką projekto įgyvendinimui planuojama teikti 2024 m. pabaigoje. Šiuo metu yra analizuojama su paraiškos parengimu projekto finansavimui gauti susijusi dokumentacija. Projektą įgyvendins VšĮ Visagino ligoninė.</t>
  </si>
  <si>
    <t>R-07-01-02-05</t>
  </si>
  <si>
    <t>R-07-01-02-06</t>
  </si>
  <si>
    <t>Jaunesnių nei 50 metų bei 50 metų ir vyresnio amžiaus mokytojų skaičiaus santykis (procentais)</t>
  </si>
  <si>
    <t>29,6/70,4</t>
  </si>
  <si>
    <t>30/70</t>
  </si>
  <si>
    <t>31/69</t>
  </si>
  <si>
    <t>32/68</t>
  </si>
  <si>
    <t>27,8/72,2</t>
  </si>
  <si>
    <t>28/72</t>
  </si>
  <si>
    <t>29/71</t>
  </si>
  <si>
    <t>24,8/75,2</t>
  </si>
  <si>
    <t>25/75</t>
  </si>
  <si>
    <t>26/74</t>
  </si>
  <si>
    <t>39,3/60,7</t>
  </si>
  <si>
    <t>40/60</t>
  </si>
  <si>
    <t>41/59</t>
  </si>
  <si>
    <t>96 proc.</t>
  </si>
  <si>
    <t>94 proc</t>
  </si>
  <si>
    <t>2.1.5.</t>
  </si>
  <si>
    <t>Programa rengiama ir įgyvendinama, atsižvelgiant į Nacionaliniame pažangos plane nustatytus sporto politikos strateginius tikslus ir (arba) pažangos uždavinius, švietimo, mokslo ir sporto ministro patvirtintą strateginių sporto šakų sąrašą, vietos bendruomenės poreikius, jos pagrindu finansuojama ir kitaip prisidedama prie savivaldybės teritorijoje veiklą vykdančių sporto srityje veikiančių fizinių ir juridinių asmenų veiklos, vykdoma sporto objektų plėtra, užtikrinamas jų teikiamų paslaugų prieinamumas gyventojams, vykdoma šviečiamoji veikla, formuojamas savivaldybės teritorijoje gyvenančių žmonių pozityvus požiūris į sporto reikšmę sveikatai, rengiamos ir įgyvendinamos kitos fizinio aktyvumo ir aukšto meistriškumo sporto plėtojimo savivaldybėje priemonės.</t>
  </si>
  <si>
    <t xml:space="preserve">Programos tikslas – gerinti verslo aplinką ir skatinti juridinių bei fizinių asmenų verslumą Visagino savivaldybėje. Prioritetu remiamos veiklos, įveiklinančios savivaldybės infrastruktūrą, sukuriant produktą (-us) ar paslaugą (-as) ir darbo vietas vietos gyventojams.
</t>
  </si>
  <si>
    <t>(pasikeitė priemonės pavadinimas )</t>
  </si>
  <si>
    <t xml:space="preserve">09.01.01.02. (PP)
</t>
  </si>
  <si>
    <t>pasiekitė pavadinimas</t>
  </si>
  <si>
    <t>~534</t>
  </si>
  <si>
    <t xml:space="preserve">nauja </t>
  </si>
  <si>
    <t xml:space="preserve">Projektų veiklų įgyvendinimas baigtas 2023 m. </t>
  </si>
  <si>
    <t>Parengta investicinės programos įgyvendinimo ataskaita</t>
  </si>
  <si>
    <t>09.03.01.02. (TP)</t>
  </si>
  <si>
    <t xml:space="preserve">Projekto "Interreg V-A Latvia – Lithuania  programme 2021– 2027 the project "SnowPower" " įgyvendinimas
</t>
  </si>
  <si>
    <t>191747963</t>
  </si>
  <si>
    <t>Programos tikslas - gyvendinti Visagino savivaldybės strateginiame plėtros plane numatytus tikslus ir uždavinius aplinkos būklei ir kokybei savivaldybėje pagerinti bei aplinkos užterštumui sumažinti</t>
  </si>
  <si>
    <t xml:space="preserve">Savivaldybės institucijų  funkcijų įgyvendinimas
</t>
  </si>
  <si>
    <t xml:space="preserve">Savivaldybės administracijos patikėjimo teise valdomų statinių ir bendrojo naudojimo inžinerinių tinklų  techninė priežiūra </t>
  </si>
  <si>
    <t>01.02.04.04. (TP)</t>
  </si>
  <si>
    <t>01.02.04.03. (TP)</t>
  </si>
  <si>
    <t>01.02.04.02.(TP)</t>
  </si>
  <si>
    <t>01.02.04.01. (TP)</t>
  </si>
  <si>
    <t>01.02.03.01 (TP)</t>
  </si>
  <si>
    <t>01.02.02.07. (TP)</t>
  </si>
  <si>
    <t>01.02.02.05. (TP)</t>
  </si>
  <si>
    <t>01.02.02.03. (TP)</t>
  </si>
  <si>
    <t>01.02.02.02. (TP)</t>
  </si>
  <si>
    <t>01.02.02.01. (TP)</t>
  </si>
  <si>
    <t>01.01.05.01. (TP)</t>
  </si>
  <si>
    <t>01.01.04.04 (TP)</t>
  </si>
  <si>
    <t>01.01.04.03 (TP)</t>
  </si>
  <si>
    <t>01.01.04.02. (TP)</t>
  </si>
  <si>
    <t>01.01.04.01. (TP)</t>
  </si>
  <si>
    <t>01.01.03.05. (TP)</t>
  </si>
  <si>
    <t>01.01.03.03. (TP)</t>
  </si>
  <si>
    <t>01.01.03.02. (TP)</t>
  </si>
  <si>
    <t>01.01.03.01. (TP)</t>
  </si>
  <si>
    <t>01.01.02.20. (TP)</t>
  </si>
  <si>
    <t>01.01.02.19. (TP)</t>
  </si>
  <si>
    <t>01.01.02.18. (TP)</t>
  </si>
  <si>
    <t>01.01.02.17. (TP)</t>
  </si>
  <si>
    <t>01.01.02.16. (TP)</t>
  </si>
  <si>
    <t>01.01.02.15. (TP)</t>
  </si>
  <si>
    <t>01.01.02.14. (TP)</t>
  </si>
  <si>
    <t>01.01.02.13. (TP)</t>
  </si>
  <si>
    <t>01.01.02.12. (TP)</t>
  </si>
  <si>
    <t>01.01.02.11. (TP)</t>
  </si>
  <si>
    <t>01.01.02.10. (TP)</t>
  </si>
  <si>
    <t>01.01.02.09. (TP)</t>
  </si>
  <si>
    <t>01.01.02.07. (TP)</t>
  </si>
  <si>
    <t>01.01.02.06. (TP)</t>
  </si>
  <si>
    <t>01.01.02.05. (TP)</t>
  </si>
  <si>
    <t>01.01.02.04. (TP)</t>
  </si>
  <si>
    <t>01.01.02.03. (TP)</t>
  </si>
  <si>
    <t>01.01.02.02. (TP)</t>
  </si>
  <si>
    <t>1.4. Europos Sąjungos ir kitos tarptautinės finansinės paramos lėšos (EGDP, VB)</t>
  </si>
  <si>
    <t>Programos tikslas - kryptingai vykdyti valstybės ir savivaldybės kultūros politiką. Šios programos priemonėmis numatoma sudaryti sąlygas savivaldybės gyventojams susipažinti su šiuolaikinėmis ir tradicinėmis profesionalaus ir mėgėjų meno formomis, ugdyti gyventojų kūrybiškumo ir kritinio mąstymo gebėjimus, etninę savimonę, meninį ir estetinį skonį, skatinti tautinio identiteto plėtrą ir menų įvairovę, skaitymo aktyvinimą bei mokymąsi visą gyvenimą. Sudarant optimalias sąlygas gyventojams dalyvauti kultūrinime gyvenime, meno saviveiklos kolektyvuose, įgyvendinant kultūrines-edukacines programas, skatinti įvairaus amžiaus gyventojų užimtumą, mažinti negatyvių visuomenės veiksnių poveikį, formuoti Visagino savivaldybės kaip įvairiatautės, kultūriškai išprususios bendruomenės įvaizdį.</t>
  </si>
  <si>
    <t>Pagrindiniai programos tikslai yra jaunimo, jaunimo organizacijų, vietos bendruomenių, daugiabučių namų bendrijų ir savininkų veiklos skatinimas, nusikalstamumo mažinimo bei savivaldybės visuomenės saugumo užtikrinimas ir pilietinio sąmoningumo stiprinimas. 
Siekiama įvairias gyventojų grupes įtraukti į Visagino savivaldybės ir savivaldybės administracijos inicijuojamų / organizuojamų priemonių įgyvendinimą, inicijuoti, formuoti ir palaikyti pilietiškumo, iniciatyvumo, bendruomeniškumo skatinimo mechanizmus.</t>
  </si>
  <si>
    <t xml:space="preserve">Rengti ir stiprinti edukacines programas bei stovyklas (įskaitant tradicinės kultūros stovyklas) skirtingo amžiaus diasporos vaikams ir jaunimui, kviesti diasporos atstovus dalyvauti įvairiuose renginiuose Lietuvoje
</t>
  </si>
  <si>
    <t>Programos tikslas -  padidinti miesto viešųjų erdvių patrauklumą, užtikrinti švarą ir tvarką, įgyvendinti priemones, skirtas bendruomenės infrastruktūros plėtrai, pagerinti gyvenimo aplinką ir kokybę, pagerinti kelių ir gatvių dangas, rekonstruoti kelius, rekonstruoti esamas automobilių stovėjimo aikšteles bei įrengti naujas, sudaryti gyventojams patogias susisiekimo sąlygas nuostolingais keleivių pervežimo maršrutais, teikti gyventojams kokybiškas komunalines paslaugas ir gerinti jų kokybę, prižiūrėti ir modernizuoti miesto inžinerinės ir rekreacinės infrastruktūros objektus, prižiūrėti ir modernizuoti gyvenamąjį fondą, gerinti kapinių priežiūrą ir viešąją infrastruktūrą.</t>
  </si>
  <si>
    <t xml:space="preserve"> Savivaldybės viešųjų pastatų, taikant energijos išteklių panaudojimo efektyvumo didinimo priemones, modernizavimas
</t>
  </si>
  <si>
    <t xml:space="preserve">keičiasi pavadinimas </t>
  </si>
  <si>
    <t xml:space="preserve">Apšvietimo tinklų ir elektros įrangos remontas, priežiūra ir plėtra 
</t>
  </si>
  <si>
    <t>Visagino savivaldybėje veikiančių formaliojo ir neformaliojo švietimo įstaigų aukštesniųjų gebėjimų turinčių mokinių ir jų mokytojų/trenerių skatinimas</t>
  </si>
  <si>
    <t xml:space="preserve">Visagino kūrybos menų akademija </t>
  </si>
  <si>
    <t>Kovo 11 d. renginiai</t>
  </si>
  <si>
    <t>Kijevo pučiamųjų orkestras</t>
  </si>
  <si>
    <t>Visagino miesto garbės piliečių pagerbimas. Priemonė įgyvendinama, siekiant pagerbti Visagino miesto garbės piliečius (renginių bilietai, garbės piliečio ženklaiir kt.)</t>
  </si>
  <si>
    <t>Miesto vaizdo stebėjimo sistemos serverinės dalies naujinimui</t>
  </si>
  <si>
    <t xml:space="preserve">Visagino miesto fontano priežiūros  darbai </t>
  </si>
  <si>
    <t xml:space="preserve">Visagino savivaldybės investicijų pritraukimo programos įgyvendinimas </t>
  </si>
  <si>
    <t xml:space="preserve">Atlikti investicinės aplinkos tyrimą Visagino savivaldybėje </t>
  </si>
  <si>
    <t>Sukurti talentų pritraukimo į Visagino savivaldybę programą</t>
  </si>
  <si>
    <t>Įgyvendinti talentų pritraukimo į Visagino savivaldybę programą</t>
  </si>
  <si>
    <t>Sukurti verslo paramos programą</t>
  </si>
  <si>
    <t>Įgyvendinti verslo paramos programą</t>
  </si>
  <si>
    <t xml:space="preserve">Atlikti verslo aplinkos tyrimą Visagino savivaldybėje </t>
  </si>
  <si>
    <t>Užtikrinti Visagino savivaldybės įsipareigojimų VšĮ „Versli Lietuva“ vykdymą organizuojant bei administruojant „Spiečiaus“ veiklas</t>
  </si>
  <si>
    <t>Sukurti verslumo skatinimo programą</t>
  </si>
  <si>
    <t xml:space="preserve">Įgyvendinti verslumo skatinimo programą </t>
  </si>
  <si>
    <t>Pritaikyti patalpas, esančias Taikos pr. 7, Visagine, verslo poreikiams</t>
  </si>
  <si>
    <t>Įgyvendinta energetinio efektyvumo didinimo programa</t>
  </si>
  <si>
    <t>Sukurti energetinio efektyvumo tyrimo sistemą</t>
  </si>
  <si>
    <t>Kūrybinių industrijų programos įgyvendinimas</t>
  </si>
  <si>
    <t>Viešųjų paslaugų verslo atstovams ir investuotojams teikimas</t>
  </si>
  <si>
    <t>Teikti komercines paslaugas verslo atstovams ir investuotojams</t>
  </si>
  <si>
    <t>Investuotojams skirtos duomenų bazės sukūrimas ir palaikymas</t>
  </si>
  <si>
    <t>Verslui skirtos informacinės duomenų bazės sukūrimas ir palaikymas</t>
  </si>
  <si>
    <t>Viešosioms paslaugoms teikti nenaudojamo turto išlaikymas</t>
  </si>
  <si>
    <t>Personalo išlaikymas</t>
  </si>
  <si>
    <t>Darbo priemonių užtikrinimas</t>
  </si>
  <si>
    <t>Kvalifikacijos kėlimo užtikrinimas</t>
  </si>
  <si>
    <t>VšĮ Visagino miesto muziejus </t>
  </si>
  <si>
    <t>Iš jų: regioninių pažangos priemonių lėšos (RP)</t>
  </si>
  <si>
    <t xml:space="preserve">Trumpas priemonės įgyvendinimo aprašymas
</t>
  </si>
  <si>
    <t>Programos įgyvendinimo koordinatorė Jolita Kriaučiūnaitė, jolita.kriauciunaite@visaginas.lt, tel. 8 (386) 36 008</t>
  </si>
  <si>
    <t xml:space="preserve">Programos įgyvendinimo koordinatorė Kristina Gedžiūnaitė, kristina.gedziunaite@visaginas.lt, tel. 8 (386) 33 415 
</t>
  </si>
  <si>
    <t xml:space="preserve">Programos įgyvendinimo koordinatorė Jolita Zabulytė, jolita.zabulyte@visaginas.lt, tel. 8 (386) 36 007
</t>
  </si>
  <si>
    <t xml:space="preserve">Programos įgyvendinimo koordinatorės
Danutė Kardelienė, danute.kardeliene@visaginas.lt, tel.8 (386) 61 092
Raisa Virko, raisa.virko@visaginas.lt, tel. 8 (386) 71 332
</t>
  </si>
  <si>
    <t xml:space="preserve">Programos įgyvendinimo koordinatorės:
Viktorija Abaravičienė, viktorija.abaraviciene@visaginas.lt, tel. 8 (386) 60 698
Inga Semionova, inga.semionova@visaginas.lt, tel.8 (386) 61 211
</t>
  </si>
  <si>
    <t xml:space="preserve">Projekto „Visos dienos užimtumo erdvių sukūrimas Visagino bendrojo ugdymo mokyklose“ įgyvendinimas
</t>
  </si>
  <si>
    <t>MISIJA</t>
  </si>
  <si>
    <t>SAVIVALDYBĖS PRIORITETAI</t>
  </si>
  <si>
    <t>Programos įgyvendinimo koordinatorė Žana Miltina, zana.miltina@visaginas.lt, tel. 8 (386) 36 006</t>
  </si>
  <si>
    <r>
      <t>Švietimo ir ugdymo paslaugų plėtra, vystant STEAM ugdymo modelį</t>
    </r>
    <r>
      <rPr>
        <b/>
        <sz val="9"/>
        <color rgb="FFFF0000"/>
        <rFont val="Arial"/>
        <family val="2"/>
      </rPr>
      <t xml:space="preserve">
</t>
    </r>
  </si>
  <si>
    <r>
      <t>Švietimo pagalbą gaunančių mokinių dalis</t>
    </r>
    <r>
      <rPr>
        <sz val="9"/>
        <rFont val="Arial"/>
        <family val="2"/>
      </rPr>
      <t xml:space="preserve"> (</t>
    </r>
    <r>
      <rPr>
        <sz val="9"/>
        <color rgb="FF000000"/>
        <rFont val="Arial"/>
        <family val="2"/>
      </rPr>
      <t>nuo visų mokinių, kuriems nustatytas švietimo pagalbos poreikis, skaičiaus)</t>
    </r>
  </si>
  <si>
    <r>
      <t>Teikiama parama vienkartinėmis, tikslinėmis, periodinėmis ir sąlyginėmis pašalpomis asmenims ir šeimoms, kurios vadovaujantis Piniginės socialinės paramos nepasiturintiems Visagino savivaldybės gyventojams teikimo tvarkos aprašu, patvirtintu Visagino savivaldybės tarybos 2015 m. sausio 29 d. sprendimu Nr. TS-1, turi teisę į šią paramą. Teikiama vienkartinė parama užsieniečiams, pasitraukusiems iš Ukrainos dėl Rusijos Federacijos karinių veiksmų. Vienkartinės, tikslinės, sąlyginės ir periodinės pašalpos skiriamos siekiant padėti bendrai gyvenantiems asmenims arba vienam gyvenančiam asmeniui, kai jie yra išnaudoję visas kitų pajamų gavimo galimybes. Kita socialinė parama neužtikrina ilgalaikio ekonominio ir socialinio saugumo, o tik padeda bendrai gyvenantiems asmenims ar vienam gyvenančiam asmeniui esant sunkioms materialinėms sąlygoms. Skiriama parama vaistams, gydymo išlaidoms apmokėti, mokesčiams už komunalines paslaugas iš dalies apmokėti, gaisro atveju, įvykus nelaimei, nukentėjus nuo gaisro, grįžus iš įkalinimo įstaigos ir pan. (savivaldybės biudžeto lėšos). Parama teikiama kiekvieną mėnesį, savivaldybės gyventojų prašymus šiai paramai gauti svarsto Visagino savivaldybės administracijos direktoriaus įsakymu sudaryta Visagino savivaldybės socialinių reikalų komisija</t>
    </r>
    <r>
      <rPr>
        <sz val="9"/>
        <color rgb="FFFF0000"/>
        <rFont val="Arial"/>
        <family val="2"/>
      </rPr>
      <t>.</t>
    </r>
  </si>
  <si>
    <t>Įgyvendinti Lietuvos Respublikos gyvūnų gerovės ir apsaugos įstatymo nuostatas</t>
  </si>
  <si>
    <t>Laisvosios ekonominės zonos steigimo Visagino savivaldybėje proceso organizavimas</t>
  </si>
  <si>
    <t xml:space="preserve">Programos įgyvendinimo koordinatorės:
Valentina Raubiškienė, valentina.raubiskiene@visaginas.lt, tel. 8 (386) 31 372
Viktorija Abaravičienė, viktorija.abaraviciene@visaginas.lt, tel.8 (386) 60 698
Inga Semionova, inga.semionova@visaginas.lt, tel.8 (386) 61 211
</t>
  </si>
  <si>
    <t>Trumpas priemonės įgyvendinimo aprašymas</t>
  </si>
  <si>
    <t>SB (L)</t>
  </si>
  <si>
    <t>L</t>
  </si>
  <si>
    <t>ĮP L</t>
  </si>
  <si>
    <t>L IP</t>
  </si>
  <si>
    <t xml:space="preserve">Visagino savivaldybės 2024 m. aplinkos apsaugos rėmimo specialiosios programos biudžeto išlaidos </t>
  </si>
  <si>
    <t xml:space="preserve">Drūkšių vizualizacija </t>
  </si>
  <si>
    <t>09.03.01.09. (PP)</t>
  </si>
  <si>
    <t xml:space="preserve">Projektas "Dviračių infrastruktūros pėtra Visagine " </t>
  </si>
  <si>
    <t>Bendra projekto vertė</t>
  </si>
  <si>
    <t>Projekto „Darnaus judumo infrastruktūros įrengimas Visagino mieste“ įgyvendinimas</t>
  </si>
  <si>
    <t>Projekto „Infrastruktūros sutvarkymas šalia nebaigto statyti pastato, esančio Festivalio g. 5, pertvarkant teritoriją į automobilių stovėjimo aikštelę" įgyvendinimas</t>
  </si>
  <si>
    <t>Projekto „Autobusų stoties su turizmo informacijos centru įrengimas  Visagino savivaldybėje" įgyvendinimas</t>
  </si>
  <si>
    <t>Visagino miesto muziejaus veiklai pritaikytų patalpų plotas, m2</t>
  </si>
  <si>
    <t xml:space="preserve">Įgyvendinant priemonę bus vykdoma Sedulinos alėjos fontano „Saulutė" priežiūra, sudarant paslaugų priežiūros sutartį. </t>
  </si>
  <si>
    <t>Bendradarbystės centre  „Spiečius“ vykdomų priemonių įgyvendinimas procentais</t>
  </si>
  <si>
    <t>Erdvių pritaikytų įrengti  darbo vietas kūrybinių industrijų sektoriuje skaičius (kv. m)</t>
  </si>
  <si>
    <t>Projekto „Apleistų / avarinių pastatų nugriovimas ir teritorijos valymas, regeneruojant buvusį karinį miestelį ir pritaikant kompleksą inovatyviai pramonei vystyti - SMART PARK įkūrimui" įgyvendinimas</t>
  </si>
  <si>
    <t xml:space="preserve">Investicinio projekto įgyvendinimas baigtas. Planuojama įvertinti šalia projekto teritorijos esančias kitas apleistas buvusio karinio miestelio teritorijas ir inicijuoti jų konversiją pritaikant kitoms ekonominėms veikloms. </t>
  </si>
  <si>
    <t>Investicijų programos „Visagino darnios ateities kūrimas" parengimas (angl. investment concept "Creating a sustainable future in Visaginas", EUCF (European city facility) projekto įgyvendinimas)</t>
  </si>
  <si>
    <t>Įgyvendinant šią priemonę planuojama skatinti SVV subjektų skaitmenizavimo procesus. Kuriant skaitmeninio miestą dvynio platformą įtraukti verslo subjektus, turimą infrastruktūrą į bendrą savivaldybės rinkodarą. Skatinti įmones/įstaigas pereiti prie neutralios klimatui ekonomikos, planuojama parengti ir vykdyti energetinio efektyvumo didinimo programą, skatinti  atsinaujinančių energijos išteklių diegimą SVV, skatinti investicijas į elektromobilių įkrovimo aikšteles.</t>
  </si>
  <si>
    <t>Projekto „Saulės jėgainių parko Visagino savivaldybėje" įrengimas</t>
  </si>
  <si>
    <t xml:space="preserve">Projekto  „Oro monitoringo sistemos modernizavimas, įrengiant stacionarias oro taršos stebėjimo vietas Visagino savivaldybėje" įgyvendinimas </t>
  </si>
  <si>
    <t xml:space="preserve">Projekto  „Didelių gabaritų atliekų surinkimo aikštelės įrengimas Visagino mieste" įgyvendinimas 
</t>
  </si>
  <si>
    <t>Projekto „Komunalinių atliekų rūšiuojamojo atliekų surinkimo pajėgumų plėtra Visagino savivaldybėje" įgyvendinimas</t>
  </si>
  <si>
    <t xml:space="preserve">Investicijos į rūšiuojamojo atliekų surinkimo įrenginius, Eur </t>
  </si>
  <si>
    <t xml:space="preserve">Projekto „Integruoto visuomenės sveikatos priežiūros modelio, inovatyvių visuomenės sveikatos paslaugų sukūrimas ir įdiegimas Visagino savivaldybėje" įgyvendinimas 
</t>
  </si>
  <si>
    <t xml:space="preserve">Projekto „Ilgalaikės priežiūros paslaugų plėtros Visagino savivaldybėje užtikrinimas" įgyvendinimas 
</t>
  </si>
  <si>
    <t>Sveikatos priežiūros įstaigų, dalyvaujančių sveikatos priežiūros įstaigų tinklo pertvarkoje, skaičius</t>
  </si>
  <si>
    <t>Projekto „Ambulatorinės slaugos paslaugas namuose, teikiančių mobilių komandų aprūpinimas įranga ir transporto priemonėmis“ įgyvendinimas</t>
  </si>
  <si>
    <t>Pagerinti  ir plėsti socialinių paslaugų kokybę ir prieinamumą, sukurti jų plėtrai reikalingą  infrastruktūrą</t>
  </si>
  <si>
    <t>Išmokų nedarbingiems neįgaliems asmenims, auginantiems vaikus iki 18 metų bei vaikus iki 24 metų, besimokančius bendrojo lavinimo mokyklose, profesinėse mokyklose, aukštesniosiose ar aukštosiose mokyklose dienine forma, mokėjimas (SADM)</t>
  </si>
  <si>
    <t xml:space="preserve">Visagino savivaldybės šeimos komisija, kuri yra patariamoji prie Savivaldybės tarybos, nusprendė parengti Šeimos stiprinimo programą Visagino savivaldybėje, kurioje buvo nuspręsta  įtraukti 2 šeimų rėmimo priemones:
1. Pagalba (parama) gimus vaikui – 200 Eur vaikui.
2. 50 eurų parama mokymosi reikmenimis kiekvienam pirmokui. </t>
  </si>
  <si>
    <t>Socialinės reabilitacijos neįgaliesiems bendruomenėje paslaugas gavusių asmenų skaičius</t>
  </si>
  <si>
    <t>Vaikų, gavusių dienos centre teikiamas socialines paslaugas, skaičius</t>
  </si>
  <si>
    <t xml:space="preserve">Projekto „Senjorų dienos centro kūrimas gerinant gyvenimo kokybę pasienio regionuose"  įgyvendinimas </t>
  </si>
  <si>
    <t>Projekto „Apleisto (nenaudojamo) buvusio visuomeninio pastato konversija ir pritaikymas Savarankiško gyvenimo namų Visagine įkūrimui"</t>
  </si>
  <si>
    <t xml:space="preserve">Projekto „Nestacionarių socialinių paslaugų, didinančių senyvo amžiaus asmenų gerovę, plėtra Visagino savivaldybėje" įgyvendinimas 
</t>
  </si>
  <si>
    <t xml:space="preserve">Projekto „Specialiųjų poreikių turinčių asmenų gerovės kūrimas ir įtrauktis į socialinę ir ekonominę Visagino savivaldybės raidą (SADM žemėlapis)" įgyvendinimas
</t>
  </si>
  <si>
    <t>Socialiai pažeidžiamų, socialinę riziką (atskirtį) patiriančių asmenų, gavusių paslaugas naujoje ar modernizuotoje infrastruktūroje skaičius per metus</t>
  </si>
  <si>
    <t>Projekto „Bendruomeninių vaikų globos namų įkūrimas ir vaikų dienos centrų tinklo plėtra Visagino savivaldybėje” įgyvendinimas</t>
  </si>
  <si>
    <t xml:space="preserve">Projekto „Visagino socialinių paslaugų centro Socialinės globos senyvo amžiaus žmonėms ir suaugusiems asmenims su negalia skyriaus modernizavimas ir plėtra" įgyvendinimas
</t>
  </si>
  <si>
    <t xml:space="preserve">Projekto „Perėjimas nuo institucinės globos prie bendruomeninių paslaugų Sostinės regione, Vidurio ir vakarų Lietuvos regione" įgyvendinimas 
</t>
  </si>
  <si>
    <t>Projekto „Pabėgėlių iš Ukrainos priėmimas ir ankstyva integracija“ įgyvendinimas</t>
  </si>
  <si>
    <t>Siekiant formuoti regioninį išskirtinumą, kurti savitus, aktualaus turinio, kokybiškus kultūros produktus ir paslaugas, sudaryti sąlygas savivaldybės kultūros lauko veikėjų kultūrinių,  kūrybinių iniciatyvų įgyvendinimui, tam pasitelkti kūrybiškos vietokūros metodo teikiamas galimybes bei sudaryti sąlygas profesionalaus meno prieinamumui</t>
  </si>
  <si>
    <t>Organizuota svarbių datų ir sukakčių paminėjimų, skaičius</t>
  </si>
  <si>
    <t xml:space="preserve">Organizuota sociokultūrinių bendruomenės poreikius tenkinančių renginių, skaičius </t>
  </si>
  <si>
    <t xml:space="preserve">Programos įgyvendinimo koordinatorius Artūras Česliokas, arturas.cesliokas@visaginas.lt, tel. 8 (386) 36 067
</t>
  </si>
  <si>
    <t>Didinti vaikų ir jaunimo socioedukacinių veiklų, socialiai prasmingo užimtumo, profesinio mokymo, saviraiškos bei švietimo pagalbos įvairovę ir prieinamumą</t>
  </si>
  <si>
    <t>Lėšų, skirtų pagrindinio ugdymo pasiekimų patikrinimo organizavimui ir brandos egzaminų vykdymui, panaudojimas proc.</t>
  </si>
  <si>
    <t>Skatinimo priemonės tikslas – pagerbti abiturientus ir jų mokytojus už gautus aukščiausius (100 balų) valstybinių brandos egzaminų rezultatus ir Visagino savivaldybės vardo garsinimą, įvertinti ir skatinti mokinių mokymosi motyvaciją, mokytojų ugdymo kokybę, skatinti siekti puikių mokymosi ir mokymo rezultatų. Apdovanojimų dydis abiturientams ir mokytojams po 200 eurų už kiekvieną gautą šimto balų valstybinių brandos egzaminų įvertinimą. 
Piniginės išmokos mokamos iš Savivaldybės biudžeto asignavimų, skirtų Savivaldybės strateginio veiklos plano Švietimo paslaugų plėtros programai įgyvendinti vadovaujantis Visagino savivaldybės tarybos 2022-12-22 sprendimu Nr. TS-222 nustatyta tvarka.</t>
  </si>
  <si>
    <t>Tūkstantmečio mokyklų Visagino ir Ignalinos rajono savivaldybių švietimo pažangos plane Visagino savivaldybei numatytų priemonių įgyvendinimas proc., nuo visų planuotų įgyvendinti</t>
  </si>
  <si>
    <t xml:space="preserve">Projekto  „Stiprinti ikimokyklinio 
ugdymo įstaigų tinklą, kuriant naujas ugdymo veiklas" įgyvendinimas
</t>
  </si>
  <si>
    <t xml:space="preserve">Projekto „Visagino progimnazijų erdvių pritaikymas negalią turinčių mokinių ugdymuisi įtraukiuoju būdu" įgyvendinimas
</t>
  </si>
  <si>
    <t>Vaikų vasaros poilsio organizavimas, saugios, socialines-emocines kompetencijas ugdančios ugdymo aplinkos kūrimas</t>
  </si>
  <si>
    <t>Įgyvendinant priemonę bus užtikrintas karjeros konsultavimo paslaugų teikimas mokiniams bei  įdarbinti karjeros specialistai, teikiantys profesinio orientavimo paslaugas mokiniams bendrojo ugdymo mokyklose. Profesinio orientavimo paslaugos teikiamos visose 5 mokyklose: „Atgimimo“ gimnazija, Draugystės progimnazija, „Gerosios vilties“ progimnazija, „Verdenės“ gimnazija ir „Žiburio“ pagrindinė mokykla, o karjeros specialistai, teikiantys šias paslaugas, įdarbinti 3 įstaigose: „Gerosios vilties“ progimnazija, „Verdenės“ gimnazija ir Visagino švietimo pagalbos tarnyba (aptarnauja „Atgimimo“ gimnaziją, Draugystės progimnaziją ir „Žiburio“ pagrindinę mokyklą).</t>
  </si>
  <si>
    <t>Projekto   „Paslaugų ir asmenų aptarnavimo kokybės gerinimas" įgyvendinimas</t>
  </si>
  <si>
    <t>Visagino savivaldybės ugdymo įstaigų, dalyvavusių Tūkstantmečio mokyklų programos veiklose, skaičius</t>
  </si>
  <si>
    <t xml:space="preserve">Kasmet didėjantis ne mažiau kaip 20 proc. </t>
  </si>
  <si>
    <t>Stacionaro ligonių skaičius, tenkantis 1 tūkst. gyventojų</t>
  </si>
  <si>
    <t>Teikiamų socialinių paslaugų rūšių (bendrųjų socialinių paslaugų, socialinės priežiūros paslaugų, socialinės globos paslaugų ir kt.) skaičius (vnt</t>
  </si>
  <si>
    <t>Gyventojų, pasitikinčių savivaldybės institucija ir jos įstaigomis, dalis proc.</t>
  </si>
  <si>
    <t>„Facebook“10 000 tūkst. (2030</t>
  </si>
  <si>
    <t>„YouTube“ 469 (2020)</t>
  </si>
  <si>
    <t>„YouTube“ 1,2 tūkst. (2030)</t>
  </si>
  <si>
    <t>Mažėjantis iki 100 t (2030)</t>
  </si>
  <si>
    <t>Ne mažiau kaip 55 proc. susidariusių
komunalinių atliekų
 (pagal
svorį) paruošta 
pakartotinai naudoti ir perdirbta</t>
  </si>
  <si>
    <t>Ne mažiau kaip 56 proc. susidariusių komunalinių atliekų (pagal
svorį) paruošta pakartotinai naudoti ir perdirbta</t>
  </si>
  <si>
    <t>Ne mažiau kaip 57 proc. susidariusių komunalinių atliekų (pagal
svorį) paruošta pakartotinai naudoti ir perdirbta</t>
  </si>
  <si>
    <t xml:space="preserve">  </t>
  </si>
  <si>
    <t xml:space="preserve">Projekto „Visagino savivaldybės priemonių, numatytų  „Tūkstantmečio mokyklų" Visagino ir Ignalinos rajono savivaldybių Švietimo pažangos plane" įgyvendinimas </t>
  </si>
  <si>
    <t>SB (ĮPL)</t>
  </si>
  <si>
    <t>ĮP (L)</t>
  </si>
  <si>
    <t>01.01.02.08. (TP)</t>
  </si>
  <si>
    <t>Sudaryti sąlygas iš anksto negalimoms suplanuoti priemonėms vykdyti bei savivaldybės finansiniams įsipareigojimams įgyvendinti</t>
  </si>
  <si>
    <t>Asmenų su negalia reikalų koordinavimo funkcijai atlikti</t>
  </si>
  <si>
    <t>Lietuvos Respublikos valstybės biudžeto dotacijų skyrimo asmenų su negalia reikalų koordinavimo funkcijos atlikimui finansuoti tvarkos aprašo, patvirtinto Lietuvos Respublikos socialinės apsaugos ir darbo ministro 2023 m. gruodžio 18 d. įsakymo Nr. A1-858 "Dėl Lietuvos Respublikos valstybės biudžeto dotacijų skyrimo asmenų su negalia reikalų koordinavimo funkcijos atlikimui finansuoti tvarkos aprašo patvirtinimo" įgyvendinimo užtikrinimas</t>
  </si>
  <si>
    <t>R-01-01-02-09</t>
  </si>
  <si>
    <t>01.02.02.08. (PP)</t>
  </si>
  <si>
    <t>02.01.03.02. (PP)</t>
  </si>
  <si>
    <t>02.01.03. (P)</t>
  </si>
  <si>
    <t>Įgyvendintų priemonių/ projektų skaičius, vnt.</t>
  </si>
  <si>
    <t>04.02.03. (T)</t>
  </si>
  <si>
    <t>04.02.02. (T)</t>
  </si>
  <si>
    <t>R-05-01-01-06</t>
  </si>
  <si>
    <t>05.04.01.02. (TP)</t>
  </si>
  <si>
    <t>E-05-05-01</t>
  </si>
  <si>
    <t>R-05-05-01-01</t>
  </si>
  <si>
    <t>Fizinių ar juridinių asmenų, perdavusių savo būstą ar patalpas neatlygintinai naudotis panaudos pagrindais dėl karinių veiksmų iš Ukrainos pasitraukusiems gyventojams kompensacijoms</t>
  </si>
  <si>
    <t xml:space="preserve">Projektą planuojama įgyvendinti 2021-2027 m. Europos Sąjungos investicijų programos lėšomis. Projekto tikslas – Visagino socialinių paslaugų centro Socialinės globos senyvo amžiaus žmonėms ir suaugusiems asmenims su negalia skyriaus infrastruktūros modernizavimas ir plėtra, siekiant pagerinti senyvo amžiaus gyventojų socialinės globos paslaugų kokybę.
Projekto veiklos:
1 aukšto patalpų remontas (atliktų remonto darbų išlaidų kompensavimas);  2. Bendrų užimtumo erdvių įrengimas - uždaros terasos statyba (Statybos darbai, įrangos ir baldų įsigijimas). Projekto įgyvendinimo metu planuojama prie esančio pastato pastatyti ir įrengti įranga ir baldais uždarą lauko terasą apie 120 kv.m., pritaikytą naudoti šaltuoju sezono metu; 3. Bendrų užimtumo erdvių įrengimas - sensorinės erdvės įrengimas (baldų ir įrangos įsigijimas); 4. Transporto priemonė (elektra varomo mikroautobuso įsigijimas). 
2024 m. planuojamas projektinių dokumentų rengimas. </t>
  </si>
  <si>
    <t>Turizmo / žygių maršruto sukūrimas "Atominis Visaginas: atrask, pamatyk, išgirsk" įtraukiant į jį vietovei būdingus išteklius ir integruojant į VIZA bendrus turizmo maršrutus</t>
  </si>
  <si>
    <t>Privažiavimo (priėjimo) prie paplūdimio infrastruktūros sutvarkymas prie  Visagino ežero;  Amfiteatrų Visagine pritaikymas įveiklinimui ir turizmo srautų pritraukimui;  Viešųjų sanitarinių mazgų (wc) prie lankomų objektų įrengimas Visagino mieste;  Audiogidų sistemos sukūrimas Visagino mieste (įveiklinant miesto erdvėse remiantis virtualiu maršrutu atominisvisaginas.lt);  - Apleistos teritorijos (aplink Vilties g.3) kompleksinis sutvarkymas ir pritaikymas turizmo (lankytojų) srautų poreikiams (įrengiant priėjimus/privažiavimą /parkavimo vietas prie Kultūros centro ir daugiafunkcinių centrų, parkingą, įrengiant universualaus dizaino priemones).</t>
  </si>
  <si>
    <t>Turizmo / žygių maršruto sukūrimas "(Ne)Atominis Visaginas: atrask gamtą"  įtraukiant į jį vietovei būdingus išteklius ir integruojant į VIZA bendrus turizmo maršrutus</t>
  </si>
  <si>
    <t xml:space="preserve"> -Tako per aukštapelkę įrengimas (pratęsimas) sujungiant Kukuižės pažintinį taką su Aktyvaus poilsio ir sporto zona prie Visagino ežero;
- Pėsčiųjų tako aplink Visagino ežerą per miško masyvą, įskaitant link Gulbinio upelio įrengimas ir pritaikymas judėjimui su negalia, poilsio aikštelių įrengimas;
- Slidinėjimo/dviračių/riedučių trąsos pritaikymas turizmo poreikiams, įrengiant apšvietimą, suremontuojant dangą;
- Viešosios infrastruktūros įrengimas prie Visagino ežero (II ir III miesto mikrorajone).</t>
  </si>
  <si>
    <t>Lopšelis darželis "Ąžuoliukas" baseino rekonstravimas</t>
  </si>
  <si>
    <t>Kosmoso gatvės rekonstravimas</t>
  </si>
  <si>
    <t xml:space="preserve">Įgyvendinant priemonę planuojama parengti investicinius projektus Parko g. 14, Vilties g. 1, Kosmoso g. 28 A  pastatų modernizavimui. </t>
  </si>
  <si>
    <t xml:space="preserve">Kūrybos ir menų akademija </t>
  </si>
  <si>
    <t xml:space="preserve">Įgyvendinant priemonę bus rengiama projektinė dokumentacija valdomam turtui atnaujinti pagal poreikį. 2025 m. planuojama parengti lopšelio darželio "Ąžuoliukas" baseino rekonstrukcijos ir Kosmoso gatvės techninius projektus. 
</t>
  </si>
  <si>
    <t>Projekto  „Priklausomybės ligų profilaktikos, diagnostikos ir gydymo kokybės ir prieinamumo gerinimas Visagino savivaldybėje" įgyvendinimas</t>
  </si>
  <si>
    <t>AA (L)</t>
  </si>
  <si>
    <t xml:space="preserve">AA </t>
  </si>
  <si>
    <t>Pasiekta  stebėsenos rodiklio reikšmė
(2023)</t>
  </si>
  <si>
    <t xml:space="preserve">Programos įgyvendinimo laikotarpis 2023-2025 m. </t>
  </si>
  <si>
    <t>V</t>
  </si>
  <si>
    <t>Visagino  Verdenės gimnazija</t>
  </si>
  <si>
    <t>Planas
(įskaitant patikslinimus)</t>
  </si>
  <si>
    <t>2023-02-02 sprendimu Nr. TS-17  patvirtintas planas</t>
  </si>
  <si>
    <t xml:space="preserve">2023 m. plano vykdymas </t>
  </si>
  <si>
    <t>2023 plano įvykdymo proc.</t>
  </si>
  <si>
    <t>Poveikio  rodiklių reikšmės</t>
  </si>
  <si>
    <t>Poveikio rodiklio kodas</t>
  </si>
  <si>
    <t xml:space="preserve">Siektina poveikio rodiklio reikšmė 2023 m.  </t>
  </si>
  <si>
    <t xml:space="preserve">Faktinė poveikio rodiklio reikšmė 2023 m. </t>
  </si>
  <si>
    <t>Poveikio  rodiklio pavadinimas
(matavimo vnt.)</t>
  </si>
  <si>
    <t>Poveikio rodiklio reikšmės</t>
  </si>
  <si>
    <t>Įgyvendinant priemonę parengta Visagino savivaldybės fizinio aktyvumo erdvių analizė ir vystymo koncepcija.</t>
  </si>
  <si>
    <t xml:space="preserve">Iš jo:
1.1. savivaldybės biudžeto lėšos </t>
  </si>
  <si>
    <t>Siektinos poveikio rodiklių reikšmės</t>
  </si>
  <si>
    <t>2023 m. plano vykdymas</t>
  </si>
  <si>
    <t>2023 plano 
įvykdymo proc.</t>
  </si>
  <si>
    <t>Visagino šeimos ir vaiko gerovės centras</t>
  </si>
  <si>
    <t>06.02.01.02. (TP)</t>
  </si>
  <si>
    <t>SB (</t>
  </si>
  <si>
    <t>2023 m. planas
(įskaitant patikslinimus)</t>
  </si>
  <si>
    <t xml:space="preserve"> Gyvenamosios vietovės renkamų bendruomenės atstovų (seniūnaičių) ir NVO tarybos veiklos efektyvumo užtikrinimas
</t>
  </si>
  <si>
    <t xml:space="preserve">Programos įgyvendinimo laikotarpis 2023-2025 m.  Programos įgyvendinimo ataskaitinis laikotarpis 2023 m. </t>
  </si>
  <si>
    <t xml:space="preserve">Programos įgyvendinimo laikotarpis 2023-2025 m. Programos įgyvendinimo ataskaitinis laikotarpis 2023 m. </t>
  </si>
  <si>
    <t xml:space="preserve">2023 m. 
plano vykdymas </t>
  </si>
  <si>
    <t xml:space="preserve">Sveikatos įstaigų paslaugų gerinimas </t>
  </si>
  <si>
    <t xml:space="preserve">Kompleksinių paslaugų sutrikusios raidos vaikams bei pagalbos jų šeimoms pagalbos centro įkūrimas
</t>
  </si>
  <si>
    <t>Projekto „Psichiatrijos dienos stacionaro įkūrimas Visagino pirminės sveikatos priežiūros centre“ įgyvendinimas</t>
  </si>
  <si>
    <t xml:space="preserve">Bendradarbiavimas su VšĮ „Euroregiono Ežerų kraštas direktorato biuras“
</t>
  </si>
  <si>
    <t>Lopšelis darželis "Gintarelis"</t>
  </si>
  <si>
    <t>Visagino rekreacijos paslaugų centras</t>
  </si>
  <si>
    <t>Visagino savivaldybės Kontrolės ir audito tarnyba</t>
  </si>
  <si>
    <t>Visagino socialinių paslaugų centras</t>
  </si>
  <si>
    <t>2023 plano įvykdymo proc</t>
  </si>
  <si>
    <t>2023-02-02 sprendimu 
Nr. TS-17  patvirtintas planas</t>
  </si>
  <si>
    <t xml:space="preserve">Programos ataskaitinis laikotarpis 2023 m. </t>
  </si>
  <si>
    <t xml:space="preserve">Gyvenamosios vietos deklaracijų, asmenų pateiktų elektroniniu būdu, dalies didėjimas per metus, ne mažiau kaip 1,5 proc. </t>
  </si>
  <si>
    <t xml:space="preserve">Savivaldybės pasirengimo reaguoti į ekstremalias situacijas lygis, ne mažiau kaip 82 proc. </t>
  </si>
  <si>
    <t xml:space="preserve">Savivaldybės pasirengimo galimai radiologinei ar branduolinei avarijai Baltarusijos atominėje elektrinėje priemonių plane numatytų priemonių, pagal kompetenciją įgyvendintų savivaldybėje per nustatytus terminus dalis, ne mažiau kaip 100 proc. </t>
  </si>
  <si>
    <t>Pasirašytų tarptautinio bendradarbiavimo sutarčių skaičius</t>
  </si>
  <si>
    <t>Parengtų strateginių dokumentų  skaičius</t>
  </si>
  <si>
    <t>Projektų, įgyvendintų organizuojant vaikų vasaros poilsį, skaičius</t>
  </si>
  <si>
    <t>Finansavimo sutartyse nustatytų veiklos rodiklių pasiekimas</t>
  </si>
  <si>
    <t>Sportininkų, lankančių savivaldybės sporto įstaigas, skaičius</t>
  </si>
  <si>
    <t>Sporto srities projektų, įgyvendinamų savivaldybėje, skaičius</t>
  </si>
  <si>
    <t>Programą baigusių 2-3 klasių mokinių dalis</t>
  </si>
  <si>
    <t>40/150</t>
  </si>
  <si>
    <t>Lankytojų profesionalaus meno renginiuose Visagine skaičius: - koncertuose, - spektakliuose, - parodose</t>
  </si>
  <si>
    <t>Bendruomenei suteiktų konsultacijų skaičius</t>
  </si>
  <si>
    <t>Savivaldybės įstaigų veiklai 
numatytų lėšų panaudojimas, proc.</t>
  </si>
  <si>
    <t>Tarybos narių veiklai numatytų lėšų panaudojimas, proc.</t>
  </si>
  <si>
    <t>Atliktų Visagino savivaldybės konsoliduotų ataskaitų rinkinio, savivaldybės biudžeto ir turto naudojimo, savivaldybės nuosavybės teise valdomo nekilnojamojo turto valdymo, naudojimo ir disponavimo juo efektyvumo auditų skaičius, vnt.</t>
  </si>
  <si>
    <r>
      <t>Įgyvendinant šią priemonę buvo užtikrinamas Lietuvos Respublikos vietos savivaldos įstatymo 7 straipsnio 12 punkto įgyvendinimas.</t>
    </r>
    <r>
      <rPr>
        <sz val="9"/>
        <color rgb="FFFF0000"/>
        <rFont val="Arial"/>
        <family val="2"/>
      </rPr>
      <t xml:space="preserve"> </t>
    </r>
  </si>
  <si>
    <t xml:space="preserve">Socialinių išmokų ir kompensacijų administravimui numatytų lėšų panaudojimas, proc. </t>
  </si>
  <si>
    <t xml:space="preserve">Įgyvendinant šią priemonę buvo užtikrinamas Lietuvos Respublikos vietos savivaldos įstatymo 7 straipsnio 19  punkto įgyvendinimas. </t>
  </si>
  <si>
    <t xml:space="preserve">Įgyvendinant šią priemonę buvo užtikrinamas Lietuvos Respublikos vietos savivaldos įstatymo  7 straipsnio 28  punkto nuostatų įgyvendinimas. </t>
  </si>
  <si>
    <t xml:space="preserve">Įgyvendinant šią priemonę buvo užtikrinamas Lietuvos Respublikos vietos savivaldos įstatymo   7 straipsnio 28  punkto įgyvendinimas. </t>
  </si>
  <si>
    <t>Įgyvendinant šią priemonę buvo užtikrinamas Lietuvos Respublikos vietos savivaldos įstatymo 7 straipsnio 2  punkto įgyvendinimas.</t>
  </si>
  <si>
    <t xml:space="preserve">Gyventojų registro tvarkymo ir duomenų teikimo valstybės registrui numatytų lėšų panaudojimas, proc. </t>
  </si>
  <si>
    <t xml:space="preserve">Duomenų teikimo Suteiktos valstybės pagalbos ir nereikšmingos pagalbos registrui numatytų lėšų panaudojimas, proc. </t>
  </si>
  <si>
    <t xml:space="preserve">Socialinės paramos mokiniams administravimui numatytų lėšų panaudojimas, proc. </t>
  </si>
  <si>
    <t xml:space="preserve">Socialinės paramos administravimui (socialinei globai asmenims su sunkia negalia) numatytų lėšų panaudojimas, proc.  </t>
  </si>
  <si>
    <t xml:space="preserve">Pirminei teisinei pagalbai numatytų lėšų panaudojimas, proc. </t>
  </si>
  <si>
    <t xml:space="preserve">Būsto nuomos ir išperkamosios būsto nuomos mokesčių dalies kompensacijų administravimui numatytų lėšų panaudojimas, proc. </t>
  </si>
  <si>
    <t>Mobilizacijos administravimui numatytų lėšų panaudojimas, proc.</t>
  </si>
  <si>
    <t xml:space="preserve">Įgyvendinant šią priemonę buvo užtikrinamas Lietuvos Respublikos vietos savivaldos įstatymo 7 straipsnio 3 punkto įgyvendinimas. </t>
  </si>
  <si>
    <t xml:space="preserve">Įgyvendinant šią priemonę buvo užtikrinamas Lietuvos Respublikos vietos savivaldos įstatymo 7 straipsnio 16 punkto įgyvendinimas. </t>
  </si>
  <si>
    <t xml:space="preserve">Visagino savivaldybės užimtumo didinimo programos administravimui numatytų lėšų panaudojimas, proc. </t>
  </si>
  <si>
    <t xml:space="preserve">Žemės ūkio funkcijų vykdymui numatytų lėšų panaudojimas, proc. </t>
  </si>
  <si>
    <t xml:space="preserve">Įgyvendinant šią priemonę buvo užtikrinamas Lietuvos Respublikos vietos savivaldos įstatymo  7 straipsnio 20, 21, 22 punktų įgyvendinimas. </t>
  </si>
  <si>
    <t xml:space="preserve">Įgyvendinant šią priemonę buvo užtikrinamas Lietuvos Respublikos vietos savivaldos įstatymo 7 straipsnio 13 punkto įgyvendinimas. </t>
  </si>
  <si>
    <t xml:space="preserve">Archyvinių dokumentų tvarkymui numatytų lėšų panaudojimas, proc.  </t>
  </si>
  <si>
    <t xml:space="preserve">Koordinuotai teikiamų paslaugų vaikams nuo gimimo iki 18 metų (turintiems didelių ir labai didelių specialiųjų ugdymosi poreikių – iki 21 metų) ir vaiko atstovams koordinavimui numatytų lėšų panaudojimas, proc. </t>
  </si>
  <si>
    <t xml:space="preserve">Valstybinės žemės ir kito valstybinio turto valdymas, naudojimas ir disponavimas juo patikėjimo teise numatytų lėšų panaudojimas, proc. </t>
  </si>
  <si>
    <t xml:space="preserve">Savivaldybės erdvinių duomenų rinkinio tvarkymo funkcijos atlikimui numatytų lėšų panaudojimas, proc. </t>
  </si>
  <si>
    <t xml:space="preserve">Savivaldybės nekilnojamojo turto išlaikymui ir administravimui numatytų lėšų panaudojimas, proc. </t>
  </si>
  <si>
    <t>Panaudotos mero rezervo lėšos esant poreikiui</t>
  </si>
  <si>
    <t xml:space="preserve">Savivaldybės finansinių įsipareigojimų vykdymas (paskolų grąžinimas ir palūkanų mokėjimas), proc. </t>
  </si>
  <si>
    <t xml:space="preserve">Bendrosios dotacijos kompensacijos grąžinimas nuo planuotos, proc. </t>
  </si>
  <si>
    <t xml:space="preserve">Įdiegtų naujų informacinių technologijų sistemų skaičius, vnt. </t>
  </si>
  <si>
    <t xml:space="preserve">2023 m. buvo atliktas Visuomenės pasitenkinimo teikiamomis paslaugomis tyrimas, siekiant įvertinti projekto poreikį ir naudą gyventojams. Tyrimas pateiktas Europos socialinio fondo agentūrai. Galutinė projekto įgyvendinimo ataskaita pateikta. Projekto veiklų įgyvendinimas baigtas. </t>
  </si>
  <si>
    <t xml:space="preserve">Asmens duomenų apsaugos ir civilinės atsakomybės funkcijų vykdymui numatytų lėšų panaudojimas, proc. </t>
  </si>
  <si>
    <t>Atvertų duomenų rinkinių kiekis: 4 (1 naujas, 3 atnaujinti)</t>
  </si>
  <si>
    <t xml:space="preserve">Projekte „Smart city – Visaginas“ numatytų įgyvendinti priemonių skaičius, proc. </t>
  </si>
  <si>
    <t>Informacinių leidinių, kuriuose skelbiama
 informacija apie savivaldybės veiklą, skaičius</t>
  </si>
  <si>
    <t xml:space="preserve">LSA nario mokesčiui numatytų lėšų panaudojimas, proc. </t>
  </si>
  <si>
    <t xml:space="preserve">Sporto srities projektų, įgyvendinamų savivaldybėje, skaičius </t>
  </si>
  <si>
    <t>7200</t>
  </si>
  <si>
    <t xml:space="preserve">Gyvenamosios vietovės bendruomenės išrinktų seniūnaičių skaičius, jų darbo užtikrinimas </t>
  </si>
  <si>
    <t>Visagino trečiojo amžiaus universitetas</t>
  </si>
  <si>
    <t>Asociacija Šokių kolektyvas „Visagino gervė“</t>
  </si>
  <si>
    <t>Asociacija Jaunųjų menininkų klubas „PALETĖ“</t>
  </si>
  <si>
    <t>Asociacija Visagino miesto rusų bendrija „SADKO</t>
  </si>
  <si>
    <t>VšĮ „Urbanistinės istorijos“</t>
  </si>
  <si>
    <t>VšĮ Visagino edukacijų centras</t>
  </si>
  <si>
    <t>Lietuvių liaudies muzikos festivalis „Pyniau dainų vainikų</t>
  </si>
  <si>
    <t>Kalėdiniai vakarai Visagino edukacijų centre 2023</t>
  </si>
  <si>
    <t>Kultūros gyvenimo atspindžiai mokyklos languose</t>
  </si>
  <si>
    <t>Kelionė į Kalėdas</t>
  </si>
  <si>
    <t>Daugiatautės Visagino bendruomenės 
įsitraukimas į kultūrinių iniciatyvų įgyvendinimą</t>
  </si>
  <si>
    <t>„Kaimynėli, būki sveikas“</t>
  </si>
  <si>
    <t>Kūrybinės dirbtuvės „Įžiebiu tradiciją“</t>
  </si>
  <si>
    <t>Savivaldybės administracija:</t>
  </si>
  <si>
    <t>Projektas „PIKAKOKA“</t>
  </si>
  <si>
    <t xml:space="preserve">Visagino kultūros centro projektui
 „XVI tradicinio muzikavimo kursai Visagine ir Meironų kaime“. </t>
  </si>
  <si>
    <t>Koordinuotas mokinių pavėžėjimas iš kaimo vietovių į Visagino švietimo įstaigas. Yra sudarytos sutartys su UAB „Zarasų autobusai“, UAB „Ignalinos autobusų parkas“ ir UAB „Kautra“ dėl mokinių pavėžėjimo viešuoju transportu. Taip pat mokiniai vežami mokykliniais autobusais. Už mokinių vežimą mokykliniais autobusais atsakingas Visagino rekreacijos paslaugų centras.</t>
  </si>
  <si>
    <t>Atlikti lauko laiptų ir atraminės sienos Parko g.7 (,,Draugystės" salė) remonto darbai; 
Parengtas gaisrinės saugos projektas Parko g. 14; Parengtas pastato-vaikų poliklinikos paskirties keitimo projektas Taikos pr. 15,  (Visagino savivaldybės tarybos sprendimas Nr. TS-184);Įrengtas keltuvas neįgaliesiems Vilties g. 1; Atlikti Visagino ežero paplūdimyje esančios vandens čiuožyklos konstrukcijų avariniai remonto darbai</t>
  </si>
  <si>
    <t>105</t>
  </si>
  <si>
    <t>Įgyvendintų Kelių priežiūros ir plėtros programos priemonių skaičius</t>
  </si>
  <si>
    <t>Sutvarkyta infrastruktūros šalia nebaigto statyti pastato, esančio Festivalio g. 5, pertvarkant teritoriją į automobilių stovėjimo aikštelę</t>
  </si>
  <si>
    <t xml:space="preserve"> 22671 </t>
  </si>
  <si>
    <t>Parengtų rekonstravimo projektų  skaičius</t>
  </si>
  <si>
    <t>Ataskaitiniu laikotarpiu baigti Visagino miesto muziejaus patalpų remonto darbai, atliktas pagrindinio įėjimo, 1 ir 2 aukštų remontas.</t>
  </si>
  <si>
    <t>Siekiant kurti palankią gyvenamąją aplinką, gerinti fizinio aktyvumo sąlygas bei pritaikyti sporto infrastruktūrą aukščiausio lygio futbolo varžyboms Visagine ataskaitiniu laikotarpiu buvo atnaujinta centrinio stadiono danga į dirbtinę (plotas – 7 819 m²),  taip pat buvo pakeisti esami lietaus nuvedimo sistemos latakai, atliktas bėgimo takų remontas, pakloti nauji vandentiekio tinklai nuo būsimos siurblinės iki futbolo aikštėje naujai įrengiamo šulinio, įrengta stadiono futbolo aikštės laistymo sistema ir pajungta prie elektros tiekimo tinklų, įrengtas futbolo aikštės aptvėrimas, įrengtos kamuolių gaudyklės.</t>
  </si>
  <si>
    <t>Atnaujintos sporto bazės objektų skaičius</t>
  </si>
  <si>
    <t xml:space="preserve">2024 metų gruodžio mėn. baigta įgyvendinti Visagino savivaldybės administracijos ir UAB „Evikonas“ pasirašyta pirkimo sutartis Nr. CPO196906/5-61/2.9-(7BD)-12 dėl Administracinio pastato, esančio Taikos pr. 7, kapitalinio remonto - atnaujinimo (modernizavimo) darbų atlikimo. 2024 m. sausio 25 d. išduotas Valstybinės teritorijų planavimo ir statybos inspekcijos prie Aplinkos ministerijos statybos užbaigimo aktas Nr. ACCA-00-020125-00015. </t>
  </si>
  <si>
    <t xml:space="preserve">Įstaigos </t>
  </si>
  <si>
    <t>6/8</t>
  </si>
  <si>
    <t>Įrengtų/atnaujintų vaikų žaidimų, sporto bei laisvalaikio aikštelių skaičius Visagino savivaldybėje</t>
  </si>
  <si>
    <t>Ataskaitiniu laikotarpiu projekto veiklų įgyvendinimas baigtas. Projekto įgyvendinimo metu:
sumontuoti nauji valdymo kontrolės skydai - 34 vnt. ir  2 vnt. rekonstruoti pritaikant prie apšvietimo valdymo sistemos, įdiegta monitoringo sistema -1 vnt., sumontuotos 959 naujos atramos, paklota 
31185 m kabelinių linijų.  Taip pat įrengta gatvės šviestuvų ant atramų – 1938 vnt., parkinių šviestuvų ant atramų -  897 vnt. , pakeista esamų LED šviestuvų  ant atramų (gatviniai ir parkiniai) su funkcionalumo pritaikymu  – 266 vnt.</t>
  </si>
  <si>
    <t xml:space="preserve">1205980,99 </t>
  </si>
  <si>
    <t>950000</t>
  </si>
  <si>
    <t>Apšvietimo tinklų ir elektros įrangos remontui ir priežiūrai panaudotų lėšų didėjimas/mažėjimas proc. nuo planuotų metų pradžioje</t>
  </si>
  <si>
    <t>Pagal faktą</t>
  </si>
  <si>
    <t>Mažėjo (15 proc.)</t>
  </si>
  <si>
    <t xml:space="preserve">Ataskaitiniu laikotarpiu buvo vykdoma Visagino savivaldybės administracijos valdomų pastatų šilumos sistemų ir šilumos punktų priežiūra bei remontas  pagal Šilumos tinklų ir šilumos vartojimo įrenginių priežiūros (eksploatavimo) taisyklių reikalavimus. Pagal pasirašytą paslaugų teikimo sutartį priežiūrą vykdė UAB "Visagino būstas". </t>
  </si>
  <si>
    <t xml:space="preserve">Įgyvendintų kapinių plėtros projektų skaičius </t>
  </si>
  <si>
    <t>Prižiūrimų vietinės reikšmės kelių skaičius</t>
  </si>
  <si>
    <t>38</t>
  </si>
  <si>
    <t xml:space="preserve">Ataskaitiniu laikotarpiu buvo atlikti objektų (pastatų) numeracijos ženklinimo darbai, nupirkta pastatų numerių su gatvių pavadinimais lentelių (38 vnt.) ir suremontotos mieste esančios rodyklės, nukreipiančios į populiarias erdves. 
2023 m. pavasarį įsigyti pastatų numeriai su gatvių pavadinimais (38 vnt.). </t>
  </si>
  <si>
    <t>Įrengta gaisro aptikimo signalizaciją</t>
  </si>
  <si>
    <t>grupių virtuvėlių remontas</t>
  </si>
  <si>
    <t>VšĮ „Euroregiono Ežerų kraštas direktorato biuras“ verslo srityje įgyvendinamų projektų skaičius</t>
  </si>
  <si>
    <t>09.01.01.01. (TP)</t>
  </si>
  <si>
    <r>
      <rPr>
        <b/>
        <sz val="9"/>
        <rFont val="Arial"/>
        <family val="2"/>
      </rPr>
      <t>Projekto "Visagino inovacijų klasteris" įgyvendinimas</t>
    </r>
    <r>
      <rPr>
        <b/>
        <sz val="9"/>
        <color rgb="FFFF0000"/>
        <rFont val="Arial"/>
        <family val="2"/>
      </rPr>
      <t xml:space="preserve">
</t>
    </r>
  </si>
  <si>
    <t>Aukštos profesinės kvalifikacijos specialistų pritraukimo (skatinimo) dirbti Visagino savivaldybės teritorijoje programos įgyvendinimas</t>
  </si>
  <si>
    <t xml:space="preserve">Visagino kūrybinių industrijų verslumo skatinimo 2020-2030 m. programos įgyvendinimas
</t>
  </si>
  <si>
    <t>Talentų pritraukimo ir išlaikymo programos lėšomis paremtų asmenų  skaičius</t>
  </si>
  <si>
    <t xml:space="preserve">Inovacijų klasteryje apsilankiusių asmenų skaičius </t>
  </si>
  <si>
    <t>Utenos regiono plėtros taryboje patvirtintas Utenos regiono 2021-2030 m. plėtros planas</t>
  </si>
  <si>
    <t>Visagino kūrybinių industrijų verslumo skatinimo 2020-2030 m. programoje įgyvendintų priemonių dalis  procentais, nuo visų planuojamų įgyvendinti</t>
  </si>
  <si>
    <t>Įrengta atsinaujinančios energijos gamybos objektų</t>
  </si>
  <si>
    <t>Parengta koncepcijų nenaudojamų (apleistų) viešųjų erdvių pertvarkymui ir pritaikymui naujoms veikloms skaičius</t>
  </si>
  <si>
    <t>Laisvalaikio ir aktyvaus poilsio erdvių sukūrimas Jaunystės g. 4, Visagine</t>
  </si>
  <si>
    <t>Įrengtas modernus Lankytojų centras</t>
  </si>
  <si>
    <t>Įkurtų paslaugų verslo subjektų skaičius</t>
  </si>
  <si>
    <t>Lietuvos ir užsienio šalių turistų, apsilankiusių VšĮ Turizmo plėtros centre, kuriems suteikta informacija apie Visagino turizmo išteklius, skaičius</t>
  </si>
  <si>
    <t>1500</t>
  </si>
  <si>
    <t>Visagino rekreacijos paslaugų centro filiale „Visagino parkas“ apsistojusių užsienio ir Lietuvos turistų skaičius</t>
  </si>
  <si>
    <t xml:space="preserve">Įrengtų vandens transporto priemonių nuleidimo vietų skaičius </t>
  </si>
  <si>
    <t>63,16</t>
  </si>
  <si>
    <t>102,52</t>
  </si>
  <si>
    <t>Išvalytų užterštų teritorijų skaičius</t>
  </si>
  <si>
    <t>59</t>
  </si>
  <si>
    <t xml:space="preserve">Ataskaitiniu laikotarpiu maudymosi sezono metu 8 kartus buvo atlikti Visagino ežero maudyklos vandens ir 4 paplūdimio smėlio kokybės tyrimai. Visagino ežero maudyklos vandens ir paplūdimio smėlio tiriami parametrai neviršijo nustatytų normų.  
Taip pat buvo organizuotas Visagino savivaldybės aplinkos monitoringo  2019-2023 m. programoje numatytų priemonių įgyvendinimas.  Atlikti stebėjimai/tyrimai ir gauta informacija apie šiuos aplinkos komponentus: aplinkos orą, paviršinį vandenį, triukšmą. Išsami informacija ir ataskaitos už 2023 m. bei galutinė už 2020-2023 m. pateiktos  Visagino savivaldybės aplinkos monitoringo duomenų bazėje, kuri pasiekiama pagal nuorodą www.visaginomonitoringas.lt  ir Visagino savivaldybės interneto svetainės skyriuje „Gyventojams“ (dalyje „Aplinkosauga ir taisyklės“). </t>
  </si>
  <si>
    <t xml:space="preserve">Atliekų tvarkymo infrastruktūros plėtros projektų parengimas </t>
  </si>
  <si>
    <t>Priemonių, skirtų sumažinti varninių paukščių populiaciją Visagine, skaičius</t>
  </si>
  <si>
    <t>Įgyvendintų triukšmo prevencijos priemonių skaičius</t>
  </si>
  <si>
    <t xml:space="preserve">Programos įgyvendinimo laikotarpis 2023-2025 m.  Ataskaitinis laikotarpis 2023 m. </t>
  </si>
  <si>
    <t>0/1</t>
  </si>
  <si>
    <t>Užtikrintas prižiūrimų, tvarkomų bendro naudojimo teritorijų tvarkymas</t>
  </si>
  <si>
    <t>3650</t>
  </si>
  <si>
    <t>3377</t>
  </si>
  <si>
    <t>500</t>
  </si>
  <si>
    <t>3400</t>
  </si>
  <si>
    <t>Laidojimo pašalpos ir paramos užsienyje mirusių LR piliečių palaikams parvežti gavėjų skaičius</t>
  </si>
  <si>
    <t>1577</t>
  </si>
  <si>
    <t>325</t>
  </si>
  <si>
    <t>316</t>
  </si>
  <si>
    <t>7948</t>
  </si>
  <si>
    <t>1213</t>
  </si>
  <si>
    <t>527</t>
  </si>
  <si>
    <t>Vadovaujantis Lietuvos Respublikos socialinių
paslaugų įstatymo nuostatomis kompensuojamos socialinės globos asmenims su sunkia negalia išlaidos.</t>
  </si>
  <si>
    <t>Asmenų su sunkia negalia, kuriems suteiktos socialinės globos paslaugos, skaičius</t>
  </si>
  <si>
    <t>103</t>
  </si>
  <si>
    <t>77</t>
  </si>
  <si>
    <t>190</t>
  </si>
  <si>
    <t>340</t>
  </si>
  <si>
    <t>23</t>
  </si>
  <si>
    <t>43</t>
  </si>
  <si>
    <t>Įkurtų bendruomeninių vaikų globos namų skaičius</t>
  </si>
  <si>
    <t>07.01.03.(T)</t>
  </si>
  <si>
    <t>Neveiksnių asmenų būklės peržiūrėjimo komisijos inicijuotų ir išnagrinėtų asmens būklės peržiūrėjimo bylų skaičius</t>
  </si>
  <si>
    <t>55</t>
  </si>
  <si>
    <t>Įkurtų Kompleksinių paslaugų sutrikusios raidos vaikams bei pagalbos jų šeimoms skaičius</t>
  </si>
  <si>
    <t>Visagino krikščionių bažnyčia „Atgimimas“</t>
  </si>
  <si>
    <t>Visagino sentikių religinė bendruomenė</t>
  </si>
  <si>
    <t>Visagino Šv. Apaštalo Pauliaus parapija</t>
  </si>
  <si>
    <t>Visagino stačiatikių Šv. Panteleimono parapija</t>
  </si>
  <si>
    <t>Visagino stačiatikių Jono Krikštytojo gimimo parapija</t>
  </si>
  <si>
    <t>Pastato pritaikymas žmonėms su negalia</t>
  </si>
  <si>
    <t>Visagino sentikių religinės bendruomenės veikla</t>
  </si>
  <si>
    <t>Bažnyčios įgarsinimo sistemos atnaujinimas bendruomenės ir visuomeniniais tikslais</t>
  </si>
  <si>
    <t>Pagrindinių laiptų remontas bei neslystančios dangos įrengimas</t>
  </si>
  <si>
    <t>Kondicionieriaus įrengimas Visagino stačiatikių Jono Krikštytojo gimimo parapijos patalpoje</t>
  </si>
  <si>
    <t>1 TM</t>
  </si>
  <si>
    <t>2 TM</t>
  </si>
  <si>
    <t>3 TM</t>
  </si>
  <si>
    <t>4 TM</t>
  </si>
  <si>
    <t>Visagino ukrainiečių draugija</t>
  </si>
  <si>
    <t>Visagino totorių bendrija</t>
  </si>
  <si>
    <t>Lietuvos lenkų sąjungos Visagino miesto skyrius</t>
  </si>
  <si>
    <t>Visagino miesto rusų bendrija „SADKO“</t>
  </si>
  <si>
    <t>„Šv. Kalėdos. Gyva tradicija“</t>
  </si>
  <si>
    <t>Visagino totorių bendrijos veiklos palaikymas</t>
  </si>
  <si>
    <t>Lenkų kalbos būrelio ir kolektyvo „Tumielanka“ veiklos užtikrinimas 2023 m.</t>
  </si>
  <si>
    <t>Sekminės (Zelionyje sviatki)</t>
  </si>
  <si>
    <t>5 NVO</t>
  </si>
  <si>
    <t>6 NVO</t>
  </si>
  <si>
    <t>7 NVO</t>
  </si>
  <si>
    <t>8 NVO</t>
  </si>
  <si>
    <t>9 NVO</t>
  </si>
  <si>
    <t>10 NVO</t>
  </si>
  <si>
    <t>11 NVO</t>
  </si>
  <si>
    <t>12 NVO</t>
  </si>
  <si>
    <t>Visagino stalo teniso klubas</t>
  </si>
  <si>
    <t>Visagino stalo teniso klubo veiklos užtikrinimas</t>
  </si>
  <si>
    <t>Lenkų kultūros dienos Visagine ir kolektyvo „Tumielanka“ 25 m. minėjimas</t>
  </si>
  <si>
    <t>Lietuvos raudonojo kryžiaus draugija</t>
  </si>
  <si>
    <t>Įveiksime vienišumą kartu</t>
  </si>
  <si>
    <t>Visagino menų rezidencija</t>
  </si>
  <si>
    <t>Meistrų festivalis</t>
  </si>
  <si>
    <t>Visuomeninė organizacija „Inter-veteranai“</t>
  </si>
  <si>
    <t>Visagino mieste futbolo bendruomenės stiprinimas</t>
  </si>
  <si>
    <t>Sporto klubas „Favoritas“</t>
  </si>
  <si>
    <t>Pažintis su biatlonu</t>
  </si>
  <si>
    <t>Asociacija „Ateities karta“</t>
  </si>
  <si>
    <t>Moterų sveikatingumo projektas „Kreivų veidrodžių karalystė“</t>
  </si>
  <si>
    <t>Šunų mylėtojų klubas „APORT!“</t>
  </si>
  <si>
    <t>Šunų paplūdimio įrengimas</t>
  </si>
  <si>
    <t xml:space="preserve">Ataskaitiniu laikotarpiu buvo dalyvaujama Zarasų – Visagino regiono 2023 – 2029 m. vietos plėtros strategijos rengimo procese, Visagino miesto 2024-2029 metų vietos plėtros strategijos rengimo procese ir Zarasų ir Visagino žuvininkystės regiono vietos veiklos grupės veikloje. </t>
  </si>
  <si>
    <t xml:space="preserve">Įgyvendinant priemonę buvo organizuotas jau tradicija tampantis jaunimo festivalis Visagine, taip pat organizuotos įvairios akcijos ir šviečiamosios veiklos  jaunimui bei užtikrinta Visagino jaunimo reikalų tarybos veikla. </t>
  </si>
  <si>
    <t>„Nuo Taško iki Taško“</t>
  </si>
  <si>
    <t>„Ecology through art“</t>
  </si>
  <si>
    <t xml:space="preserve">Ataskaitiniu laikotarpiu lėšos buvo skirtos  (konkurso tvarka) Visagino savivaldybėje veikiančių tradicinių religinių bendrijų ir bendruomenių projektams, kurių įgyvendinimu gerinama kulto pastatų ir juos supančių viešųjų erdvių infrastruktūra, realizuojami sociokultūriniai tikslai. Iš viso paremti 5 projektai. </t>
  </si>
  <si>
    <t xml:space="preserve">Ataskaitiniu laikotarpiu lėšos buvo skirtos konkurso tvarka remti Visagino savivaldybėje registruotų ir savivaldybėje veiklą vykdančių nevyriausybinių organizacijų ir tautinių mažumų kultūros projektus. Iš viso paremta 12 projektų. 
</t>
  </si>
  <si>
    <t>Utenos apskrities vyriausiasis policijos komisariatas</t>
  </si>
  <si>
    <t>„Kitas drugelio sparnas“</t>
  </si>
  <si>
    <t xml:space="preserve"> Valstybės sienos apsaugos tarnybos prie Lietuvos Respublikos vidaus reikalų ministerijos Vilniaus pasienio rinktinės Puškų pasienio užkarda</t>
  </si>
  <si>
    <t>VSAT Vilniaus pasienio rinktinės Pūškų pasienio užkardos nusikalstamų veikų ir kitų teisės pažeidimų prevencinė veikla ir kontrolė Visagino savivaldybės teritorijoje“</t>
  </si>
  <si>
    <t>Regioninės asociacijos „Gyvūnų šansas“</t>
  </si>
  <si>
    <t xml:space="preserve"> „Linkusių nusikalsti asmenų socialinė integracija į visuomenę Visagino savivaldybėje“ </t>
  </si>
  <si>
    <t xml:space="preserve">Ataskaitiniu laikotarpiu lėšos buvo skirtos konkurso tvarka remti proejktus susijusius su nusikaltimų prevencija ir viešosios tvarkos gerinimu mieste. Iš viso paremti 3 projektai. </t>
  </si>
  <si>
    <t>Įgyvendinant priemonę buvo sudaryti vienišų, senyvo amžiaus, neįgalių asmenų ir auginančių nepilnamečius vaikus asmenų, turinčių specialių poreikių ir gyvenančių riziką keliančiuose individualiuose gyvenamuosiuose būstuose sąrašai, kurie buvo nuolat atnaujinami. Pagal  pateiktus sąrašus aplankyta: 30 butų, įrengta 18 dūmų daviklių, teiktos prevencinės konsultacijos.  Per 2023 metus organizuoti  22 susitikimai - su namų administratoriais, kitų institucijų atstovais priešgaisrinės saugos klausimais. Iš viso aplankyta 261 gyventojas - sumontuoti 38 davikliai. 2023 m. taip pat buvo vykdytos akcijos:  „Svečiuose pas ugniagesius“ organizuota vieną kartą Visagino PGT lankėsi  6/7 kl., 8/9kl. – 55 mokiniai, taip pat prevencinė akcija „Po gaisro“. Buvo  individualiai bendraujama su 45 gyventojais, kurie matė gaisrą ir gyvena šalia kiekvienos gaisravietės - siekiant pagrindinio tikslo, atkreipti dėmesį ir ugdyti žmonių saugos kultūrą. Akcijos metu„ Padėk artimui“, pagal pateiktus sąrašus aplankyta – 30 butų, sumontuota 18 dūmų daviklių. Parengti ir paviešinti 8 straipsniai - priešgaisrinės saugos temomis.</t>
  </si>
  <si>
    <t xml:space="preserve">Programos įgyvendinimo koordinatoriai
Evelina Visockytė, evelina.visockytė@visaginas.lt, tel.8 (386) 36 017
Danutė Kotovienė, danutė.kotoviene@visaginas.lt., tel. 8 (386) 31 587
Valentina Raubiškienė, valentina.raubiskiene@visaginas.lt, tel. 8 (386) 31 372
</t>
  </si>
  <si>
    <t>Savivaldybės įstaigų kultūros ir meno darbuotojų, tobulinusių kvalifikaciją, skaičius ir kvalifikacijos tobulinimui skirtų dienų skaičius (kuriuos galima pagrįsti)</t>
  </si>
  <si>
    <t xml:space="preserve">Finansuotų kultūros srityje veikiančių 
įstaigų skaičius
</t>
  </si>
  <si>
    <t xml:space="preserve">Finansavimo sutartyje numatytų pasiekti pagrindinių įstaigos veiklos rodiklių įgyvendinimas, proc. </t>
  </si>
  <si>
    <t>6221</t>
  </si>
  <si>
    <t>Visagino lietuvių asociacijos „Gimtinės spalvos“  (bendrafinansavimo)</t>
  </si>
  <si>
    <t>Visagino kultūros centras (bendrafinansavimo)</t>
  </si>
  <si>
    <t>Įgyvendinant šią priemonę bus organizuojama Aukštaitijos metų minėjimo programa.</t>
  </si>
  <si>
    <t xml:space="preserve">Organizuota svarbių minėtinų datų minėjimo programa, proc. </t>
  </si>
  <si>
    <t>Įgyvendinant šią priemonę buvo  organizuojami Gatvės muzikos dienos renginiai, susitikimai su vaikų rašytojais, Poezijos šventė, Kultūros nakties renginiai, kiti renginiai pagal poreikį.</t>
  </si>
  <si>
    <t>2023 m. Visagino miesto šventė vyko 48-ąjį kartą. Siekiama užtikrinti patrauklią programą, kuri įtrauktų įvairaus amžiaus gyventojus, svečius, bendruomenę.</t>
  </si>
  <si>
    <t>Organizuota miesto šventė</t>
  </si>
  <si>
    <t xml:space="preserve">Organizuota kalėdinio laikotarpio šventinė programa, eglės įžiebimo šventinė programa, proc. </t>
  </si>
  <si>
    <t>„Žaisk krepšinį Visagine – 2023“</t>
  </si>
  <si>
    <t xml:space="preserve">„Visagino miesto neįgaliųjų sporto vystymas“ </t>
  </si>
  <si>
    <t>Visagino miesto neįgaliųjų sporto klubas „Visaggalis"</t>
  </si>
  <si>
    <t xml:space="preserve"> „Pažintis su futbolu Visagino miesto darželiuose“</t>
  </si>
  <si>
    <t>VšĮ Visagino futbolo centras</t>
  </si>
  <si>
    <t>„Fiziškai aktyvi ir sveikai gyvenanti Visagino senjorų bendruomenė</t>
  </si>
  <si>
    <t xml:space="preserve">„Cirkas – sportas,   sveikata“ </t>
  </si>
  <si>
    <t>Sporto klubas Akrobalansas</t>
  </si>
  <si>
    <t>575</t>
  </si>
  <si>
    <t>314</t>
  </si>
  <si>
    <t>155</t>
  </si>
  <si>
    <t>1126</t>
  </si>
  <si>
    <t xml:space="preserve">19 </t>
  </si>
  <si>
    <t>Neformaliojo vaikų švietimo ir formalųjį švietimą papildančio sportinio ugdymo programų įgyvendinimas</t>
  </si>
  <si>
    <t>Viešosios įstaigos pavadinimas</t>
  </si>
  <si>
    <t>Veiklos tikslas arba programos uždavinys</t>
  </si>
  <si>
    <t>VšĮ Visagino sporto ir rekreacijos centras</t>
  </si>
  <si>
    <t>–</t>
  </si>
  <si>
    <t>Tęstinės veiklos rodikliai</t>
  </si>
  <si>
    <t>Įstaigos veiklos strategijos parengimas, patvirtinimas ir įgyvendinimas</t>
  </si>
  <si>
    <t>Įstaigos komandų, pavienių ugdytinių dalyvavimas aukšto meistriškumo varžybose</t>
  </si>
  <si>
    <t>Tradicinių Visagino savivaldybei sporto šakų išlaikymas ir, atsižvelgiant į kintančius Visagino gyventojų poreikius,  naujų sporto šakų programų rengimas ir įgyvendinimas</t>
  </si>
  <si>
    <t>Neformaliojo vaikų švietimo (NVŠ) sportinio ugdymo programų, finansuojamų valstybės lėšomis, rengimas ir įgyvendinimas</t>
  </si>
  <si>
    <t>Neformaliojo suaugusiųjų švietimo sportinio ugdymo programų, finansuojamų valstybės ar savivaldybės lėšomis, rengimas ir įgyvendinimas</t>
  </si>
  <si>
    <t>Projektinės veiklos plėtra siekiant pritraukti kitus finansavimo šaltinius įstaigos veiklos kokybei ir plėtrai, infrastruktūros atnaujinimui ir ugdymo aplinkos aprūpinimui priemonėmis</t>
  </si>
  <si>
    <t>Teikiamų mokamų paslaugų kokybės stiprinimas ir įvairovės plėtra reaguojant į kintančius Visagino gyventojų bei miesto svečių poreikius</t>
  </si>
  <si>
    <t>Informacijos apie įstaigos veiklą viešinimas sukurtoje interneto svetainėje, kurios struktūra ir turinys atitinka Bendrųjų reikalavimų valstybės ir savivaldybių institucijų ir įstaigų interneto svetainėms ir mobiliosioms programoms aprašo, patvirtinto Lietuvos Respublikos Vyriausybės 2003 m. balandžio 18 d. nutarimu Nr. 480 (aktuali redakcija), reikalavimus.</t>
  </si>
  <si>
    <t>Įvairių sporto varžybų, fizinio aktyvumo ir sporto renginių, sporto stovyklų įstaigos ugdytiniams ir Visagino savivaldybės bendruomenei organizavimas ir vykdymas</t>
  </si>
  <si>
    <t>Viešoji įstaiga Visagino krepšinio mokykla</t>
  </si>
  <si>
    <t>Vykdyti krepšinio treniruotes vaikams ir jaunimui</t>
  </si>
  <si>
    <t>Visagino krepšinio mokyklos komandų dalyvavimas aukšto meistriškumo varžybose</t>
  </si>
  <si>
    <t>Moterų krepšinio vystymas</t>
  </si>
  <si>
    <t>Grupių skaičius</t>
  </si>
  <si>
    <t>3x3 krepšinio  vystymas</t>
  </si>
  <si>
    <t>Sporto iniciatyvų, susijusių su krepšinio sportu ir/ar įtraukiančių Visagino gyventojus į fizinio aktyvumo veiklas, įgyvendinimas (renginiai, šventės, stovyklos, kt.)</t>
  </si>
  <si>
    <t xml:space="preserve">25 proc. </t>
  </si>
  <si>
    <t>Dalyvavimas Mažų miestelių lygoje</t>
  </si>
  <si>
    <t>Dalyvavimas Regionų krepšinio lygoje</t>
  </si>
  <si>
    <t>Viešoji įstaiga Visagino graikų-romėnų imtynių centras</t>
  </si>
  <si>
    <t>Vykdyti graikų-romėnų imtynių treniruotes vaikams ir jaunimui</t>
  </si>
  <si>
    <t xml:space="preserve">Dalyvavimas varžybose pagal patvirtintą graikų-romėnų imtynių varžybų planą </t>
  </si>
  <si>
    <t>Sporto iniciatyvų, susijusių su imtynių sportu ir/ar įtraukiančių Visagino gyventojus į fizinio aktyvumo veiklas, įgyvendinimas (renginiai, šventės, stovyklos, kt.)</t>
  </si>
  <si>
    <t>Viešoji įstaiga Visagino futbolo centras</t>
  </si>
  <si>
    <t>Vykdyti futbolo treniruotes vaikams ir jaunimui</t>
  </si>
  <si>
    <t>Visagino futbolo komandų dalyvavimas Lietuvos vaikų ir jaunių ugdymo futbolo asociacijos (LVJUFA) Pirmos lygos čempionate ir Utenos apskrities futbolo federacijos (UAFF) pirmenybėse</t>
  </si>
  <si>
    <t>Sporto iniciatyvų, susijusių su futbolo sportu ir/ar įtraukiančių Visagino gyventojus į fizinio aktyvumo veiklas, įgyvendinimas (renginiai, šventės, stovyklos, kt.)</t>
  </si>
  <si>
    <t>70 proc.</t>
  </si>
  <si>
    <t>Trumpalaikių neformaliojo vaikų švietimo programų įgyvendinimas</t>
  </si>
  <si>
    <t>Programų dalyvių skaičius</t>
  </si>
  <si>
    <t>Jaunimo savanoriškos veiklos organizavimas</t>
  </si>
  <si>
    <t xml:space="preserve">Stovyklų organizavimas mokinių atostogų metu </t>
  </si>
  <si>
    <t xml:space="preserve">Organizuotų stovyklų skaičius </t>
  </si>
  <si>
    <t>Stovyklų dalyvių skaičius</t>
  </si>
  <si>
    <t xml:space="preserve">Edukacinių programų ir kursų organizavimas </t>
  </si>
  <si>
    <t xml:space="preserve">Įgyvendintų programų skaičius, vnt. </t>
  </si>
  <si>
    <t>Neformaliojo vaikų švietimo (NVŠ) programų, finansuojamų valstybės lėšomis, rengimas ir įgyvendinimas</t>
  </si>
  <si>
    <t>Neformaliojo suaugusiųjų švietimo programų, finansuojamų valstybės ar savivaldybės lėšomis, rengimas ir įgyvendinimas</t>
  </si>
  <si>
    <t>12 proc.</t>
  </si>
  <si>
    <t>Iniciatyvų, įtraukiančių Visagino gyventojus ir miesto svečius į veiklas, įgyvendinimas (renginiai, šventės, akcijos, kt.)</t>
  </si>
  <si>
    <t>Projektinės veiklos plėtra siekiant pritraukti kitus finansavimo šaltinius įstaigos veiklos kokybei ir plėtrai, infrastruktūros atnaujinimui ir aprūpinimui priemonėmis</t>
  </si>
  <si>
    <t>Teikiamų mokamų paslaugų kokybės stiprinimas ir įvairovės plėtra reaguojant į Visagino gyventojų bei miesto svečių poreikius</t>
  </si>
  <si>
    <t>Informacijos apie įstaigos veiklą viešinimas sukurtoje interneto svetainėje, kurios struktūra ir turinys atitinka Bendrųjų reikalavimų valstybės ir savivaldybių institucijų ir įstaigų interneto svetainėms ir mobiliosioms programoms aprašo, patvirtinto Lietuvos Respublikos Vyriausybės 2003 m. balandžio 18 d. nutarimu Nr. 480 (aktuali redakcija), reikalavimus</t>
  </si>
  <si>
    <t>Muziejinės veiklos renginių (parodų, edukacijų, kūrybinių instaliacijų ir kt. formų) organizavimas</t>
  </si>
  <si>
    <t xml:space="preserve">VšĮ Visagino turizmo plėtros centras  </t>
  </si>
  <si>
    <t>Naujų turizmo maršrutų ir ekskursijų programų Visagino savivaldybėje kūrimas ir viešinimas</t>
  </si>
  <si>
    <t>Sukurtų ir paviešintų naujų turizmo maršrutų ir ekskursijų programų skaičius, vnt.</t>
  </si>
  <si>
    <t>Interneto svetainės, skirtos turistinio Visagino savivaldybės įvaizdžio formavimui, sukūrimas ir naudojimas</t>
  </si>
  <si>
    <t>Parengtų ir paskelbtų informacinių pranešimų, straipsnių interneto svetainėje skaičius, vnt.</t>
  </si>
  <si>
    <t>Gidų mokymų ir jų kvalifikacijos tobulinimo paramos programų kūrimas ir įgyvendinimas</t>
  </si>
  <si>
    <t>Licencijuotų gidų, užsiregistruotų ir veikiančių Visagino  savivaldybėje, skaičius, vnt.</t>
  </si>
  <si>
    <t>Informacinių ir kartografinių leidinių apie Visagino turizmo išteklius ir turizmo paslaugas parengimas ir išleidimas</t>
  </si>
  <si>
    <t>Parengtų ir išleistų turistams skirtų leidinių skaičius, vnt.</t>
  </si>
  <si>
    <t>Įgyvendinamų pažangos projektų (įrašomas pažangos projekto kodas ir pavadinimas) rodikliai</t>
  </si>
  <si>
    <t>Sukurta programa, vnt.</t>
  </si>
  <si>
    <t>Įgyvendinta programa, proc.</t>
  </si>
  <si>
    <t>Atlikta tyrimų, vnt.</t>
  </si>
  <si>
    <t>Užtikrina „Spiečiaus“ veikla, proc.</t>
  </si>
  <si>
    <t>Pritaikyta patalpų, kv. m</t>
  </si>
  <si>
    <t>Sukurta sistema, vnt.</t>
  </si>
  <si>
    <t>Suteikta konsultacijų, val.</t>
  </si>
  <si>
    <t>Sukurta duomenų bazė, vnt.</t>
  </si>
  <si>
    <t>Administruojama patalpų, kv. m.</t>
  </si>
  <si>
    <t>Darbuotojų skaičius, vnt.</t>
  </si>
  <si>
    <t>Įrengtos darbo vietos, vnt.</t>
  </si>
  <si>
    <t xml:space="preserve">Kvalifikaciją kėlusių darbuotojų skaičius, vnt. </t>
  </si>
  <si>
    <t>9.</t>
  </si>
  <si>
    <t>VšĮ Visagino ligoninė</t>
  </si>
  <si>
    <t>Tęstinės veiklos rodikliai –Vykdomų projektų nėra</t>
  </si>
  <si>
    <t>Įstaigos funkcijų vykdymo išlaidos</t>
  </si>
  <si>
    <t>Ilgalaikio turto  pagerinimo, remonto išlaidos</t>
  </si>
  <si>
    <t>Planuojamos naujos įrangos įsigijimui ir  naudojamos įrangos remontui planuojamos lėšos</t>
  </si>
  <si>
    <t>Nematerialiojo turto IT sistemų palaikymo išlaidos</t>
  </si>
  <si>
    <t xml:space="preserve">ASP duomenų saugos atitikimo saugos reglamentui auditas  (rizikų vertinimas ir įgyvendinimas) </t>
  </si>
  <si>
    <t>65000 Eur</t>
  </si>
  <si>
    <t>Darbo užmokesčio  išlaidos</t>
  </si>
  <si>
    <t>Kvalifikacijos kėlimo išlaidos, pagal kolektyvinės sutarties nuostatas</t>
  </si>
  <si>
    <t>Medicininio  ir kito įstaigos  personalo mokymai, pritaikant ligoninės darbą  prie naujų SAM pertvarkos reikalavimų</t>
  </si>
  <si>
    <t xml:space="preserve">Naujų darbuotojų pritraukimas ir įdarbinimas įstaigoje </t>
  </si>
  <si>
    <t xml:space="preserve">Įstaigos kiekybinių ir kokybinių rodiklių vykdymas </t>
  </si>
  <si>
    <t>Pacientų prieinamumo pas gydytojus užtikrinimas</t>
  </si>
  <si>
    <t>Siekti, kad įstaigoje teikiamos pirminės ambulatorinės sveikatos priežiūros paslaugos sveikatos apsaugos ministro nustatytų ūmių būklių atveju būtų atliekamos  ne vėliau kaip per 24 valandas</t>
  </si>
  <si>
    <t>Siekti, kad įstaigoje teikiamos pirminės ambulatorinės sveikatos priežiūros paslaugos būtų atliekamos  ne vėliau kaip per 7 kalendorines dienas</t>
  </si>
  <si>
    <t>Siekti, kad įstaigoje teikiamos antrinės ambulatorinės sveikatos priežiūros paslaugos būtų atliekamos ne vėliau kaip per 30 kalendorinių dienų</t>
  </si>
  <si>
    <t>Siekti, kad įstaigoje teikiamos stacionarinės, dienos stacionaro ir (ar) dienos chirurgijos sveikatos priežiūros paslaugos planinės pagalbos atveju būtų atliekamos  ne vėliau kaip per 60 kalendorinių dienų</t>
  </si>
  <si>
    <t>Siekti Dienos chirurgijos I-IV grupių paslaugų, kai pacientas atvyksta ir išvyksta iš ASPĮ tą pačią dieną</t>
  </si>
  <si>
    <t>Siekti Dienos chirurgijos V-IV grupių paslaugų, kai pacientas atvyksta ir išvyksta iš ASPĮ tą pačią dieną</t>
  </si>
  <si>
    <t>Siekti, kad atvykimo dieną atliktų planinių operacijų rodiklis  siektų</t>
  </si>
  <si>
    <t>10.</t>
  </si>
  <si>
    <t>VšĮ Visagino pirminės sveikatos priežiūros centras</t>
  </si>
  <si>
    <t>Gyventojų sveikatos atstatymas ir stiprinimas, sergamumo ir mirtingumo mažinimas, prieinamų ir tinkamų įstaigos licencijoje nurodytų asmens ir visuomenės sveikatos priežiūros paslaugų teikimas, sveikatinimo veikla, siekiant geresnės gyventojų sveikatos.</t>
  </si>
  <si>
    <t>2023 metų planas</t>
  </si>
  <si>
    <t xml:space="preserve">2023 metų faktas </t>
  </si>
  <si>
    <t>2023 m. priemonės įgyvendintos 80 proc.</t>
  </si>
  <si>
    <t>Patvirtinta strategija,
2023 m. priemonės įgyvendintos 100 proc.</t>
  </si>
  <si>
    <t>77339 Eur</t>
  </si>
  <si>
    <t>86055Eur</t>
  </si>
  <si>
    <t>7244085 Eur</t>
  </si>
  <si>
    <t>11983 Eur</t>
  </si>
  <si>
    <t>Kvalifikacijos kėlimas ne mažiau nei 14 % įstaigos personalo</t>
  </si>
  <si>
    <t>2023 metais 
siekti ne mažesnio nei 0,7 rodiklio rezultato, atlikti ne mažiau kaip 2 pacientų apklausas</t>
  </si>
  <si>
    <t>Įgyvendinti Europos Sąjungos struktūrinių ir kitų fondų lėšomis finansuojamus projektus .</t>
  </si>
  <si>
    <t>Įdiegti informacinę sistemą, užtikrinančią pacientų informavimą</t>
  </si>
  <si>
    <t>Informuotų pacientų dalis proc</t>
  </si>
  <si>
    <t xml:space="preserve">Sumažinti komunalinių paslaugų sąnaudas (Elektra, vanduo, šildymas ir kt. ) </t>
  </si>
  <si>
    <t>(Eur., proc.)</t>
  </si>
  <si>
    <t xml:space="preserve">Mokamų paslaugų plėtra   </t>
  </si>
  <si>
    <t>( Eur., proc.)</t>
  </si>
  <si>
    <t>Imunoprofilaktikos programos pagal vaikų profilaktinių skiepijimų kalendorių skiepų apimčių didinimas</t>
  </si>
  <si>
    <t>Vaikų odontologinės priežiūros intensyvumo didinimas</t>
  </si>
  <si>
    <t>Padidinti vaikų profilaktinių tikrinimų intensyvumą</t>
  </si>
  <si>
    <t>Vyresnių nei 65 metų asmenų skiepijimo gripo vakcina apimčių didinimas</t>
  </si>
  <si>
    <t>Slaugos paslaugų teikimo namuose intensyvumo didinimas</t>
  </si>
  <si>
    <t xml:space="preserve">Proc. </t>
  </si>
  <si>
    <t>(Vaikų (6-14 metų), kurių krūminiai dantys padengti silantinėmis medžiagomis, skaičiaus didėjimas</t>
  </si>
  <si>
    <t>Proc.</t>
  </si>
  <si>
    <t>Uždarosios akcinės bendrovės  pavadinimas</t>
  </si>
  <si>
    <t>UAB „Visagino energija“</t>
  </si>
  <si>
    <t> -</t>
  </si>
  <si>
    <t>- </t>
  </si>
  <si>
    <t>km.</t>
  </si>
  <si>
    <t>Kogeneracinės jėgainės Visagino centralizuoto šilumos tiekimo sistemoje statyba, vnt.</t>
  </si>
  <si>
    <t>Dumblo sausinimo infrastruktūros atnaujinimas, vnt.</t>
  </si>
  <si>
    <t>Dumblo sausinimo cecho remontas, vnt.</t>
  </si>
  <si>
    <t>Vandenvietės ir valymo įrangos baro šilumos tiekimo būdo pakeitimo galimybių studijos atlikimas, vnt.</t>
  </si>
  <si>
    <t>UAB „Visagino būstas“</t>
  </si>
  <si>
    <t>Administruoti Visagino miesto daugiabučius namus ir vykdyti techninę priežiūrą, namų skaičius</t>
  </si>
  <si>
    <t>Administruoti ir tvarkyti Visagino savivaldybės  paviršines nuotekas , abonentų skaičius</t>
  </si>
  <si>
    <t>Įgyvendinti Visagino savivaldybės daugiabučių namų atnaujinimo (modernizavimo) programą, renovuotų namų skaičius</t>
  </si>
  <si>
    <t>Teikti komunalinių atliekų surinkimo Visagino savivaldybės  teritorijoje ir jų vežimo į apdorojimo įrenginius paslaugą, kiekis (t)</t>
  </si>
  <si>
    <t>t</t>
  </si>
  <si>
    <t>Šiluminės katilinės pastato (pastato Nr,827) vėdinimo/šildymo kaloriferio pakeitimas, vnt.</t>
  </si>
  <si>
    <t>Biokuro vandens šildymo katilo pelenų šalinimo transporterio remontas, vnt.</t>
  </si>
  <si>
    <t>Šiluminės katilinės vaizdo stebėjimo sistemos atnaujinimas, vnt.</t>
  </si>
  <si>
    <t>Naujos šildymo sistemos montavimas šiluminės katilinės pastate (pastato Nr. 826), vnt.</t>
  </si>
  <si>
    <t>Geriamojo vandens gėrimo fontanėlių įsigijimas ir įrengimas Visagino mieste, vnt.</t>
  </si>
  <si>
    <t xml:space="preserve"> Laboratorijos ir tarnybinio korpuso (pastato Nr. 482 B) remontas, vnt.</t>
  </si>
  <si>
    <t>Dumblo kompostavimo technologijos įdiegimas, vnt.</t>
  </si>
  <si>
    <t>Komercijos tarnybos patalpų lauko laiptų remontas, vnt.</t>
  </si>
  <si>
    <t>Ugniasienių įsigijimas, vnt.</t>
  </si>
  <si>
    <t> 1</t>
  </si>
  <si>
    <t>1 </t>
  </si>
  <si>
    <t>Iš jo:
1.1. savivaldybės biudžeto lėšos</t>
  </si>
  <si>
    <t>Vykdant šią priemonę, planuojama ir grąžinama dotacija, skirta Visagino savivaldybės projektams įgyvendinti. Skirta dotacija turi būti grąžinta po projekto įgyvendinimo. Grąžintiną dotacijos sumą nustato UAB Viešųjų investicijų plėtros agentūra (VIPA) vadovaudamasi Aprašo priede nustatyta vertinimo metodika. Dotacija grąžinama du kartus per metus pradedant ją grąžinti ateinančiais metais po projekto įgyvendinimo pabaigos iki einamųjų metų birželio 30 dienos ir gruodžio 10 dienos. 2016–2021  metais buvo pasirašyta 12 sutarčių dėl dotacijų skyrimo.</t>
  </si>
  <si>
    <t>Pagal poreikį</t>
  </si>
  <si>
    <t>Kita speciali tikslinė dotacija (SD) neįgalūs</t>
  </si>
  <si>
    <t>Visagino savivaldybės 2024 m. asignavimai iš valstybės biudžeto lėšų ir kitų dotacijų neformalus ir kt</t>
  </si>
  <si>
    <t>Skaitmeninio ugdymo turinio kūrimas ir diegimas</t>
  </si>
  <si>
    <t xml:space="preserve">Žiburio </t>
  </si>
  <si>
    <t xml:space="preserve">Verdenės </t>
  </si>
  <si>
    <t>Skaitmeninio ugdymo turinio kūrimas 
ir diegimas</t>
  </si>
  <si>
    <t>17,577</t>
  </si>
  <si>
    <t xml:space="preserve">Gerosios vilties </t>
  </si>
  <si>
    <t>18,592</t>
  </si>
  <si>
    <t xml:space="preserve">Draugystės </t>
  </si>
  <si>
    <t>11,969</t>
  </si>
  <si>
    <t xml:space="preserve">Auksinis raktelis </t>
  </si>
  <si>
    <t>Kokybiškų karjeros paslaugų teikimas realioje ir virtualioje aplinkoje veiklos „Jaunimo profesijos pasimatavimas realioje darbo vietoje vasaros atostogų metu“</t>
  </si>
  <si>
    <t>1,855</t>
  </si>
  <si>
    <t xml:space="preserve">Administracija </t>
  </si>
  <si>
    <t>Socialinių paslaugų įvairovės plėtra bei jų kokybės gerinimas Lietuvos ir Latvijos specialiųjų poreikų vaikams</t>
  </si>
  <si>
    <t xml:space="preserve">Švietimo 
pagalbos tarnyba </t>
  </si>
  <si>
    <t>4,235</t>
  </si>
  <si>
    <t>5,139</t>
  </si>
  <si>
    <t>5,060</t>
  </si>
  <si>
    <t>0,572</t>
  </si>
  <si>
    <t>3,943</t>
  </si>
  <si>
    <t>3,493</t>
  </si>
  <si>
    <t xml:space="preserve">Gintarėlis </t>
  </si>
  <si>
    <t>870</t>
  </si>
  <si>
    <t xml:space="preserve">SB (AA) </t>
  </si>
  <si>
    <t xml:space="preserve">1.1. savivaldybės biudžeto lėšos </t>
  </si>
  <si>
    <t>Visagino savivaldybės 2023–2025 metų strateginį veiklos planą sudarė 10 įvairius savivaldybės veiklos sektorius apimančių programų. Kiekvienoje programoje iškelti trejų metų veiklos strateginiai uždaviniai, suformuluotos priemonės ir konkretizuoti rezultatų pasiekimo rodikliai. Programos buvo pasirinktos,susisteminus ir apibendrinus  vietos savivaldos principus, savivaldybės instituciją ir jos kompetenciją, numatytas vykdyti funkcijas, savivaldybės mero, savivaldybės tarybos nario statusą, savivaldybių ūkinės ir finansinės veiklos pagrindus, taip pat išanalizavus viešojo administravimo sritis, viešojo administravimo subjektų sistemą ir administracinės procedūros organizavimo pagrindus.</t>
  </si>
  <si>
    <t>Strateginis planas nepatvirtintas.</t>
  </si>
  <si>
    <t>490 </t>
  </si>
  <si>
    <t>11 </t>
  </si>
  <si>
    <t>0 </t>
  </si>
  <si>
    <t>10 proc. </t>
  </si>
  <si>
    <t>3,2 proc. </t>
  </si>
  <si>
    <t>90 proc. </t>
  </si>
  <si>
    <t> 42</t>
  </si>
  <si>
    <t xml:space="preserve">Organizuotas </t>
  </si>
  <si>
    <t xml:space="preserve">19 namų butų ir kitų patalpų savininkų balsavimas raštu </t>
  </si>
  <si>
    <t xml:space="preserve">22,5 proc. </t>
  </si>
  <si>
    <t>152 </t>
  </si>
  <si>
    <t> 90 proc.</t>
  </si>
  <si>
    <t>63 </t>
  </si>
  <si>
    <t>2 </t>
  </si>
  <si>
    <t>16 </t>
  </si>
  <si>
    <t>3 </t>
  </si>
  <si>
    <t> 0</t>
  </si>
  <si>
    <t> 29 proc.</t>
  </si>
  <si>
    <t> 4</t>
  </si>
  <si>
    <t> 72</t>
  </si>
  <si>
    <t xml:space="preserve">Investicijų pritraukimo ir verslumo skatinimo institucinės ekosistemos sukūrimas Visagino, Ignalinos ir Zarasų funkcinėje zonoje (VIZA funkcinės zonos strategijos projekto rengimas) </t>
  </si>
  <si>
    <t>Autobusų stoties su turizmo informacijos centru statyba</t>
  </si>
  <si>
    <r>
      <t xml:space="preserve">IŠ VISO programai finansuoti pagal finansavimo šaltinius </t>
    </r>
    <r>
      <rPr>
        <b/>
        <i/>
        <sz val="7"/>
        <rFont val="Arial"/>
        <family val="2"/>
      </rPr>
      <t>(1 ir 2 punktai)</t>
    </r>
  </si>
  <si>
    <t>Projekto  „Smart city - Visaginas" įgyvendinimas</t>
  </si>
  <si>
    <t>Suremontuotų įėjimų į grupes skaičius 2 vnt</t>
  </si>
  <si>
    <t>Lietaus nuotekų stovų keitimai</t>
  </si>
  <si>
    <t xml:space="preserve">Programos priemonė įvykdyta dalinai.13248,63 Eurų 
buvo panaudota Visagino ,,Atgimimo'' gimnazijos lietaus nuotekų, vėdinimo kanalų ir stogo remonto darbams apmokėti, 3648, Eurų panaudota įžeminimo ir žaibosaugos sistemų remonto darbams apmokėti ir 4800,0 Eurų panaudota gaisro aptikimo ir signalizacujos techninio darbo projekto parengimo paslaugoms apmokėti . </t>
  </si>
  <si>
    <t>Įrengta ir modernizuota gaisro aptikimo ir signalizavimo sistema.</t>
  </si>
  <si>
    <t>Įgyvendinant priemonę buvo atliktas  dalinis patalpų remontas: 1.Baigtas VKMA III korpuso Festivalio g. 6A, lauko ir tambūro evakuacijos durų keitimas, pažeistų 
vietų remontas ir ventiliacijos ortakio aptaisymas atsparumą ugniai didinančiomis priemonėmis, vykdant gaisrinės saugos reikalavimus. 2. Baigtas VKMA II korpuso 
Festivalio g. 3A, lauko ir tambūro evakuacijos durų keitimas ir  pažeistų vietų remontas, vykdant gaisrinės saugos reikalavimus.VKMA II korpuso Festivalio g. 3A 
įrengtas sanmazgas. 3. VKMA I korpuso Vilties g. 16 stogo pūslių remontas.</t>
  </si>
  <si>
    <t>2023 metais atlikti holo remonto ir sanitarinio mazgo pritaikymo neįgaliesiems darbai (Taikos pr. 52).</t>
  </si>
  <si>
    <t xml:space="preserve">Vaikų skaičius </t>
  </si>
  <si>
    <t>Ataskaitiniu laikotarpiu VSPC kaip projekto partneris nuo 2023 m. sausio 2 d. pradėjo įgyvendinti projekto Nr. 07-003-P-0001 „Integralios pagalbos teikimas ir plėtra Lietuvos savivaldybėse“ veiklas Visagino savivaldybėje. Projekto tikslas – užtikrinti integralios pagalbos tikslinės grupės asmenims teikimą ir plėtrą Lietuvos savivaldybėse. Projekto vykdymo metu buvo teikiamos slaugos, reabilitacijos ir globos paslaugos suaugusiems asmenims su negalia ir senyvo amžiaus asmenims jų namuose, numatytos paslaugos vaikams su negalia namuose ir valstybės bei savivaldybių įstaigose, kuriose įgyvendinamos ikimokyklinio ugdymo programos ikimokyklinio amžiaus vaikams su negalia (iki 7 m.), taip pat konsultacijos neįgaliems ir / arba senyvo amžiaus asmenims namuose, prižiūrintiems šeimos nariams (parengimo juos prižiūrėti, pagalba prižiūrint patiems klausimais), psichologinė pagalba neįgaliems, senyvo amžiaus asmenims, juos prižiūrintiems šeimos nariams, integralią pagalbą teikiantiems darbuotojams.</t>
  </si>
  <si>
    <t xml:space="preserve">Siekiant padidinti bendruomenėje teikiamų paslaugų 
dalį pereinant nuo institucinės globos prie bendruomeninių paslaugų, savivaldybėje įkurti Savarankiško gyvenimo namai. Nuo 2021 m. sausio mėnesio veikia Savarankiško gyvenimo namai, savivaldybė užtikrina šios įstaigos finansavimą. 2023 m. buvo projektuojamas aplinkinės teritorijos sutvarkymas (įvažiavimas į teritoriją ir paviršinių lietaus nuotekų  sistema), pasirašyta sutartis su Rangovu dėl darbų atlikimo. Darbus planuojama baigti 2024 m. rugsėjo mėn. </t>
  </si>
  <si>
    <t xml:space="preserve">Asmenų skaičius </t>
  </si>
  <si>
    <t>300</t>
  </si>
  <si>
    <t>Šeimų, kurioms teikiama socialinė priežiūra, skaičius</t>
  </si>
  <si>
    <t>154</t>
  </si>
  <si>
    <t>P-06-01-02-08</t>
  </si>
  <si>
    <t>P-06-01-02-09</t>
  </si>
  <si>
    <t>P-06-01-02-10</t>
  </si>
  <si>
    <t>P-06-01-02-11</t>
  </si>
  <si>
    <t>P-06-01-03-09</t>
  </si>
  <si>
    <t>P-06-01-03-11</t>
  </si>
  <si>
    <t>Apdraustųjų darbuotojų skaičius</t>
  </si>
  <si>
    <t>84</t>
  </si>
  <si>
    <t xml:space="preserve">elektros keitimo ir vidaus apdailos remonto darbams (naujai įrengtos lubos, apšvietimas, pakeistos kabineto durys, pakeisti elektros laidai, lizdai ir kiti darbai). </t>
  </si>
  <si>
    <t>neformalus vaikų švietimas</t>
  </si>
  <si>
    <t>2265</t>
  </si>
  <si>
    <t>9657</t>
  </si>
  <si>
    <t xml:space="preserve">Nėra duomenų už 2023 m. </t>
  </si>
  <si>
    <t>18,82 (2022)</t>
  </si>
  <si>
    <t>18,82  (2022)</t>
  </si>
  <si>
    <t>60 (2022)</t>
  </si>
  <si>
    <t xml:space="preserve">2023 m. rugpjūčio 21 d. 6.50 val. dėl stipraus žaibo Visagino Draugystės progimnazijos pastatas patyrė stiprų elektromagnetinį impulsą, kuris pakenkė progimnazijos elektronikos įrangai bei žemos įtampos tinklams (tame tarpe priešgaisrinės signalizacijos valdymo blokui ir kamerų vaizdo stebėjimo sistemai). Todėl teko remontuoti priešgaisrinę signalizaciją. Lėšos metų pradžiai nebuvo suplanioti.  Lėšos buvo naudojamos pagal poreikį. Lėšos buvo panaudotos 100,00 proc. </t>
  </si>
  <si>
    <t>Įgyvendinamų suaugusiųjų neformaliojo švietimo programų, finansuotų SB lėšomis, skaičius</t>
  </si>
  <si>
    <t>Įgyvendinamų suaugusiųjų neformaliojo švietimo programų, finansuotų VB lėšomis, skaičius</t>
  </si>
  <si>
    <t>Švietimo įstaigų, dalyvaujančių projektuose, skaičius</t>
  </si>
  <si>
    <t>22/200</t>
  </si>
  <si>
    <t>Socialiai jautrių grupių,pasinaudojusių tarybos suteiktomis lengvatomis,  skaičius</t>
  </si>
  <si>
    <t>~20</t>
  </si>
  <si>
    <t>~40</t>
  </si>
  <si>
    <t>~1</t>
  </si>
  <si>
    <t xml:space="preserve">Visagino šeimos ir vaiko gerovės centras. Vaikų dienos centras </t>
  </si>
  <si>
    <t xml:space="preserve">„Maža Šalis“ </t>
  </si>
  <si>
    <t xml:space="preserve">Asociacija „Visaginietis “ </t>
  </si>
  <si>
    <t>„Summer CAMP“</t>
  </si>
  <si>
    <t>Visagino „Gerosios vilties“ progimnazija</t>
  </si>
  <si>
    <t xml:space="preserve">	Prevencinis projektas „Misija įmanoma“</t>
  </si>
  <si>
    <t>Visagino vaikų lopšelis-darželis „Ąžuoliukas“</t>
  </si>
  <si>
    <t>„Judame daugiau ir išradingiau“</t>
  </si>
  <si>
    <t>VšĮ Visagino graikų-romėnų imtynių centras</t>
  </si>
  <si>
    <t xml:space="preserve">	„Judėjimas – tai gyvenimas“</t>
  </si>
  <si>
    <t xml:space="preserve">Visagino viešoji biblioteka </t>
  </si>
  <si>
    <t xml:space="preserve">Visagino lopšelis – darželis „Auksinis raktelis“ </t>
  </si>
  <si>
    <t xml:space="preserve">	„Augu sveikas, kaip ridikas“</t>
  </si>
  <si>
    <t xml:space="preserve">	„Saugus, laimingas, sveikas. Nelaimingų atsitikimų
 jaunimui kelyje (sausumoje ir vandenyje) prevencija“</t>
  </si>
  <si>
    <t>Kapitalinio remonto (pritaikant neįgaliesiems) techninio darbo projekto parengimas 
Kapitalinio remonto (pritaikant neįgaliesiems) techninio darbo projekto ekspertizė</t>
  </si>
  <si>
    <t>16</t>
  </si>
  <si>
    <t>Įstaigų, atlikusių remonto darbus,  skaičius</t>
  </si>
  <si>
    <t xml:space="preserve"> UAB „VIRI technologija“</t>
  </si>
  <si>
    <t>UAB „Vaigas“</t>
  </si>
  <si>
    <t xml:space="preserve"> MB „Rytų stilius“</t>
  </si>
  <si>
    <t xml:space="preserve"> MB „Augantis organizmas“</t>
  </si>
  <si>
    <t xml:space="preserve"> MB „Miško takeliais“</t>
  </si>
  <si>
    <t xml:space="preserve"> Andrej Bogomolnikov</t>
  </si>
  <si>
    <t>Boris Taškin</t>
  </si>
  <si>
    <t>P-09-02-01-03</t>
  </si>
  <si>
    <t>virš 400</t>
  </si>
  <si>
    <t xml:space="preserve">Dalyvavimas parodoje </t>
  </si>
  <si>
    <t>R-09-01-01-05</t>
  </si>
  <si>
    <t>94</t>
  </si>
  <si>
    <t>R-09-01-01-06</t>
  </si>
  <si>
    <t>21</t>
  </si>
  <si>
    <t>Asmenų, priklausančių tikslinei grupei, kuriems suteiktos paslaugos skaičius</t>
  </si>
  <si>
    <t>137</t>
  </si>
  <si>
    <t>Laikinai įdarbintų ieškančių darbo asmenų,  skaičius</t>
  </si>
  <si>
    <t xml:space="preserve">Įgyvendinant šią priemonę įgyvendinama viena iš Visagino savivaldybėje išskiriamų 2020–2030 metams prioritetinės ekonomikos plėtros krypčių „Kūrybinė industrija“, kurios buvo patvirtintos Visagino savivaldybės tarybos 2019 m. spalio 30 d. sprendimu Nr. TS-253 „Dėl Visagino savivaldybės 2020–2030 m. ekonominės plėtros gairių patvirtinimo“. Priemonę įgyvendins viešoji įstaiga Visagino ekonomikos plėtros agentūra. 
Programos tikslas – sukuriant palankias sąlygas skatinti kūrybinių industrijų verslumo vystymąsi mieste, pritraukti į miestą naujų šio sektoriaus įmonių ir talentų bei fasilituoti visų suinteresuotų šalių bendradarbiavimą, kuris užtikrintų darnią ekonomikos plėtrą bei Visagino gyventojų gerovę.
2023 m. buvo parengta kūrybinės industrijos būklės vertinimo metodologija – 1 vnt.
Taip pat parengtas kūrybinės industrijos atstovų poreikių vertinimas – 1 vnt. Suteikta
20 konsultacijų. </t>
  </si>
  <si>
    <t>3107</t>
  </si>
  <si>
    <t>315 </t>
  </si>
  <si>
    <t>80 </t>
  </si>
  <si>
    <t>8 </t>
  </si>
  <si>
    <t> 3</t>
  </si>
  <si>
    <t> 15</t>
  </si>
  <si>
    <t>70 </t>
  </si>
  <si>
    <t>60 </t>
  </si>
  <si>
    <t>P-10-01-02-01</t>
  </si>
  <si>
    <t>P-10-01-02-04</t>
  </si>
  <si>
    <t>P-10-01-02-06</t>
  </si>
  <si>
    <t>P-10-01-02-08</t>
  </si>
  <si>
    <t>P-10-01-02-09</t>
  </si>
  <si>
    <t>P-10-01-02-10</t>
  </si>
  <si>
    <t>P-10-01-02-11</t>
  </si>
  <si>
    <t>P-10-01-02-14</t>
  </si>
  <si>
    <t>P-10-02-03-03</t>
  </si>
  <si>
    <t>P-10-02-03-09</t>
  </si>
  <si>
    <t>P-10-02-03-11</t>
  </si>
  <si>
    <t>P-10-02-04-06</t>
  </si>
  <si>
    <t>P-10-02-04-07</t>
  </si>
  <si>
    <t>P-10-03-01-06</t>
  </si>
  <si>
    <t>P-10-03-01-07</t>
  </si>
  <si>
    <t>P-10-03-01-09</t>
  </si>
  <si>
    <t>P-10-03-01-10</t>
  </si>
  <si>
    <t>P-10-03-05-01</t>
  </si>
  <si>
    <t>Projekto veiklos baigtos įgyvendinti 2023 m. Per ataskaitinį laikotarpį  buvo atlikti darbai: 
1) Įrengta  šaligatvių dangos konstrukcija  - 100%; 
2) Įrengta automobilių stovėjimo aikštelės dangos konstrukcija - 100%.
3)  Parengta kadastro byla. 
2023 m. gegužės 31 d. pasirašytas darbų perdavimo - priemimo aktas.   Aikštelės dydis:  1358, 67 kv/m,   įrengta 40 stovėjimo vietų.</t>
  </si>
  <si>
    <t>Ataskaitiniu laikotarpiu buvo remontuojamos apšvietimo tinklų kabelinės linijos, atliekami elektros varžų matavimai, elektros linijų ir apskaitos skydų montavimai, taip pat vykdomi  kiti būtini elektros energijos tiekimo montavimo ir priežiūros darbai.</t>
  </si>
  <si>
    <t xml:space="preserve">Ataskaitiniu laikotarpiu priemonė nebuvo įgyvendinama, nes nebuvo poreikio. </t>
  </si>
  <si>
    <t xml:space="preserve">Ataskaitiniu laikotarpiu buvo organizuota naujų kapinių, esančių adresu Dūkšto kel. 62, Visagino ir Magūnų kapinių teritorijos ir pastatų priežiūra, atliktas Visagino kapinių tvoros remontas. </t>
  </si>
  <si>
    <t>130000</t>
  </si>
  <si>
    <t>149</t>
  </si>
  <si>
    <t xml:space="preserve">Programos įgyvendinimo laikotarpis – nuo 2023 m. vasario mėn. iki 2023 m. gruodžio mėn. Programos tikslai: padėti norintiems integruotis į darbo rinką ieškantiems darbo asmenims įsidarbinti ir uždirbti pragyvenimui būtinas lėšas, mažinti socialinę įtampą ir atskirtį tarp bendruomenės narių, atnaujinti ieškančių darbo asmenų darbinius įgūdžius, padidinti ieškančių darbo asmenų galimybes susirasti nuolatinį darbą, didinti Visagino savivaldybės gyventojų užimtumą. </t>
  </si>
  <si>
    <t xml:space="preserve">Ataskaitiniu laikotarpiu buvo analizuojama situacija ir parengta koncepcija  dėl Visagino savivaldybės valdomų patalpų, esančių Balto g.1, Ramybės k., Visagino sav. transformavimo ir pritaikymo energetikos temos aktualizavimui ir pritaikymui edukacijai bei turizmui. 
Projektinis pasiūlymas pateiktas  European urban initiative programai, tačiau finansavimas projekto įgyvendinimui nebuvo skirtas. </t>
  </si>
  <si>
    <t>Siekiant užtikrinti esamos turizmo infrastruktūros tinkamą pristatymą bei informacijos gavimo prieinamumą ir nenutrūkstamą suteikimą, VšĮ Visagino turizmo plėtras centras nuolat teikia turizmo informacijos paslaugas, reprezentuojančias Visagino savivaldybę, viešina Visagino savivaldybės lankytinas vietas, turizmo paslaugas. Siekiant kuo išsamiau pristatyti Visagino savivaldybės turizmo potencialą, dalyvauja turizmo parodose bei renginiuose, konsultuoja turizmo verslu užsiimančius fizinius ir juridinius asmenis, rengia ir dalyvauja rengiant turizmo informacinius leidinius, skleidžia informaciją apie vykstančius turizmo, kultūros ir kitus visuomeninius renginius, įgyvendina turizmo infrastruktūros projektus, bendradarbiaujant su kaimyninėmis savivaldybėmis. 
Taip pat įgyvendinimas projektas „Europe direct Visagino savivaldybėje“.</t>
  </si>
  <si>
    <t>P-09-02-03-05</t>
  </si>
  <si>
    <t>P-09-02-03-06</t>
  </si>
  <si>
    <t>P-09-03-01-06</t>
  </si>
  <si>
    <t>P-09-03-01-07</t>
  </si>
  <si>
    <t>P-09-03-02-07</t>
  </si>
  <si>
    <t>P-09-04-01-01</t>
  </si>
  <si>
    <t>P-08-01-01-10</t>
  </si>
  <si>
    <t>P-08-01-01-11</t>
  </si>
  <si>
    <t>P-08-01-01-12</t>
  </si>
  <si>
    <t>P-08-01-01-13</t>
  </si>
  <si>
    <t>P-08-01-01-14</t>
  </si>
  <si>
    <t>P-08-01-05-01</t>
  </si>
  <si>
    <t>Ataskaitiniu laikotarpiu organizuotas užterštos teritorijos tarp Dūkšto kel. 68 ir 76, Visagine, valymas. Teritorijoje surinkta 393,54 t mišrių statybinių ir griovimo atliekų. Atliekos sutvarkytos.</t>
  </si>
  <si>
    <t xml:space="preserve">2023 m. gruodžio 1 d. VĮ Valstybinių miškų urėdijos Ignalinos regioninis padalinys pateikė prašymą Nr. 54-S-18448 „Dėl finansinės paramos medžiojamųjų gyvūnų daromos žalos miškui prevencijos priemonėms įgyvendinti“. Visagino savivaldybės administracijos Medžiojamųjų gyvūnų daromos žalos prevencinių priemonių vertinimo komisija įvertino paraišką  bei pateiktus dokumentus ir  pateikė išvadą kompensuoti patirtas išlaidas. Visagino savivaldybės administracijos direktoriaus 2023 m. gruodžio 6 d. įsakymu Nr. ĮTV-E-345 kompensuotos medžiojamųjų gyvūnų daromos žalos miškui prevencinių priemonių įgyvendinimo išlaidos: repelento „Cervacl“ įsigijimas, sodmenų tepimo darbai. Apdorota repelentais 47000 vnt. sodmenų 14,3 ha miško sklypų plotuose, esančiuose Visagino savivaldybėje, panaudota 85,00 kg repelento. </t>
  </si>
  <si>
    <t xml:space="preserve">Ataskaitiniu laikotarpiu buvo analizuojama projektinė dokumentacija dėl Visagino  savivaldybės poreikių pagrindimo formos (klausimyno) užpildymo, siekiant Utenos regiono plėtros tarybai pateikti pasiūlymą dėl Visagino savivaldybės projekto (-ų) įtraukimo į regiono plėtros planą, tačiau išnagrinėjus visą projektinę dokumentaciją, paaiškėjo, kad projektu numatytos įgyvendinti veiklos neatitinka finansavimo sąlygų ir projektas nebus įgyvendinamas. </t>
  </si>
  <si>
    <t xml:space="preserve">Vykdant  Visagino savivaldybės visuomenės sveikatos rėmimo specialiąją programą, patvirtintą Visagino savivaldybės tarybos 2023-03-10 sprendimu Nr. TS-29, paskelbtas ir organizuotas konkursas šios programos priemonėms finansuoti. Iš viso finansuoti 7 projektai. </t>
  </si>
  <si>
    <t>P-07-01-01-08</t>
  </si>
  <si>
    <t>P-07-01-01-09</t>
  </si>
  <si>
    <t>P-07-01-01-10</t>
  </si>
  <si>
    <t>P-07-01-01-11</t>
  </si>
  <si>
    <t>2023 m. projekto veiklų įgyvendinimas baigtas.</t>
  </si>
  <si>
    <t>51</t>
  </si>
  <si>
    <t>Dalyvavimas programose, skirtose sveikatai stiprinti – tai investicija, kuri ateityje padėtų sumažinti visuomenės išlaidas sveikatai. Norint pagerinti visuomenės sveikatą labai svarbu gerinti vaikų ir paauglių valgymo įpročius, o ugdymo įstaigos yra geriausia vieta daryti įtaką vaikų mitybos įpročiams ir juos keisti, nes kaip tik tuo metu valgymo įpročiai formuojasi.</t>
  </si>
  <si>
    <t>Įgyvendinant šią priemonę ir  vykdant savarankiškąją savivaldybės socialinių paslaugų teikimo užtikrinimo planuojant ir organizuojant socialines paslaugas funkciją  bei valstybinę (valstybės perduotą savivaldybėms) funkciją, susijusią su socialinės globos teikimo asmenims su sunkia negalia organizavimu, užtikrinama socialines palsaugas Visagino savivaldybėje teikiančių įstaigų Visagino šeimos ir vaiko gerovės centro ir Visagino socialinių paslaugų centro veikla.</t>
  </si>
  <si>
    <t>baseinas (pensininkai)</t>
  </si>
  <si>
    <t>maitinimas (ikimokyklinis ugymas)</t>
  </si>
  <si>
    <t>Suaugę+vaikai  neįgalieji  (VŠVGC)</t>
  </si>
  <si>
    <t xml:space="preserve">Visagino šeimos ir vaiko gerovės centras </t>
  </si>
  <si>
    <t xml:space="preserve">VšĮ Visagino sporto ir rekreacijos centras , VšĮ Visagino edukacijos centras </t>
  </si>
  <si>
    <t xml:space="preserve">Socialinės priežiūros paslaugų  šeimoms teikimo užtikrinimas </t>
  </si>
  <si>
    <t>Ataskaitiniu laikotarpiu buvo vykdomas būsto pritaikymas žmonėms su negalia pagal jų pateiktus prašymus ir nustatytą poreikį būsto pritaikymui.</t>
  </si>
  <si>
    <t xml:space="preserve">Vadovaujantis Globos centro ir vaiko priežiūros budinčio globotojo šeimoje veiklos organizavimo ir finansavimo Visagino savivaldybėje tvarkos aprašu, patvirtintu 2021 m. spalio 14 d. sprendimu Nr. TS-206, teikiamos budinčių globotojų paslaugos bei mokamos lėšos globojamų vaikų išlaikymui. </t>
  </si>
  <si>
    <t xml:space="preserve">Įgyvendinant šią priemonę apmokėtos kaupiamosios lėšos bendro naudojimo patalpų administratoriams, elektros energija už bendro naudojimo patalpas, patuštintų butų šildymo išlaidos, smulkūs remonto darbai, nuomos mokesčio nuomininkams paslaugų teikimas. </t>
  </si>
  <si>
    <t>P-02-01-02-10</t>
  </si>
  <si>
    <t>P-02-01-03-01</t>
  </si>
  <si>
    <t>P-02-01-03-02</t>
  </si>
  <si>
    <t>P-02-01-03-04</t>
  </si>
  <si>
    <t>109</t>
  </si>
  <si>
    <t>19</t>
  </si>
  <si>
    <t>Vaikų skaičius (VŠVGC)</t>
  </si>
  <si>
    <t>108</t>
  </si>
  <si>
    <t xml:space="preserve">Projekto veiklų įgyvendinimas baigtas 2023 m. vykdant  Perėjimo nuo institucinės globos prie šeimoje ir bendruomenėje teikiamų paslaugų neįgaliesiems ir likusiems be tėvų globos vaikams 2014–2020 metų veiksmų plano, patvirtinto Lietuvos Respublikos socialinės apsaugos ir darbo ministro 2014 m. vasario 14 d. įsakymu Nr. A1-83 „Dėl Perėjimo nuo institucinės globos prie šeimoje ir bendruomenėje teikiamų paslaugų neįgaliesiems ir likusiems be tėvų globos vaikams 2014–2020 metų veiksmų plano patvirtinimo“, nuostatas Visagino savivaldybėje įkurti Bendruomeniniai vaikų globos namai. </t>
  </si>
  <si>
    <t>P-01-01-01-03</t>
  </si>
  <si>
    <t>P-01-01-01-04</t>
  </si>
  <si>
    <t>P-01-01-02-07</t>
  </si>
  <si>
    <t>P-01-01-02-08</t>
  </si>
  <si>
    <t>P-01-01-02-10</t>
  </si>
  <si>
    <t>P-01-01-02-11</t>
  </si>
  <si>
    <t>P-01-01-02-12</t>
  </si>
  <si>
    <t>P-01-01-02-13</t>
  </si>
  <si>
    <t>P-01-01-02-15</t>
  </si>
  <si>
    <t>P-01-01-02-16</t>
  </si>
  <si>
    <t>P-01-01-02-17</t>
  </si>
  <si>
    <t>P-01-01-02-18</t>
  </si>
  <si>
    <t>P-01-01-02-19</t>
  </si>
  <si>
    <t>P-01-01-02-20</t>
  </si>
  <si>
    <t>P-01-01-03-03</t>
  </si>
  <si>
    <t>P-01-01-03-05</t>
  </si>
  <si>
    <t>P-01-01-04-04</t>
  </si>
  <si>
    <t>P-01-02-02-05</t>
  </si>
  <si>
    <t>P-01-02-02-07</t>
  </si>
  <si>
    <t>P-01-02-02-08</t>
  </si>
  <si>
    <t>P-01-02-04-04</t>
  </si>
  <si>
    <t>Įdiegtų priemonių, skirtų paslaugų ir (ar) aptarnavimo  kokybei gerinti, skaičius</t>
  </si>
  <si>
    <t>Savivaldybės biuidzeto lėšomis buvo nupirkti blankai EMP, išlaidos bus kompensuotos atspausdinus pažymėjimus (priklausys nuo atspausdintų pažymėjimų kiekio)</t>
  </si>
  <si>
    <t>Karjeros specialistų DU apmokėti (buvo kompensuotos sausio mėn, 2024 m. )</t>
  </si>
  <si>
    <t xml:space="preserve">Karjeros specialistų DU apmokėti </t>
  </si>
  <si>
    <t xml:space="preserve">Rodiklio reikšmė
2023 m. </t>
  </si>
  <si>
    <t>P-03-01-02-04</t>
  </si>
  <si>
    <t xml:space="preserve">Kelionė į Prancūziją </t>
  </si>
  <si>
    <t xml:space="preserve">Stiprinti ryšius Ošo mieste </t>
  </si>
  <si>
    <t>P-04-02-03-01</t>
  </si>
  <si>
    <t>P-04-02-03-02</t>
  </si>
  <si>
    <t>P-04-02-04-01</t>
  </si>
  <si>
    <t>P-04-02-04-02</t>
  </si>
  <si>
    <t>P-04-02-04-03</t>
  </si>
  <si>
    <t>P-05-01-01-04</t>
  </si>
  <si>
    <t>P-05-01-01-05</t>
  </si>
  <si>
    <t>P-05-02-01-03</t>
  </si>
  <si>
    <t>P-05-03-01-04</t>
  </si>
  <si>
    <t>P-05-04-01-01</t>
  </si>
  <si>
    <t>P-05-04-01-02</t>
  </si>
  <si>
    <t>SAVIVALDYBĖS VALDOMŲ ĮMONIŲ  PASIEKTI PAGRINDINIAI VEIKLOS RODIKLIAI</t>
  </si>
  <si>
    <t>VIEŠŲJŲ ĮSTAIGŲ, KURIŲ SAVININKĖ YRA SAVIVALDYBĖ ARBA KAI SAVIVALDYBĖ 
TURI 50 PROCENTŲ IR DAUGIAU BALSŲ VISUOTINIAME DALININKŲ SUSIRINKIME,  PASIEKTI PAGRINDINIAI VEIKLOS RODIKLIAI</t>
  </si>
  <si>
    <t>Asociacija žinių ekonomikos forumas, tarptautinis projektas MILbox (15000 Eur)</t>
  </si>
  <si>
    <t>Nrd Plus projektas ,,Green Connection",</t>
  </si>
  <si>
    <t>66,091</t>
  </si>
  <si>
    <t>54,678</t>
  </si>
  <si>
    <t>Įgyvendinant šią priemonę buvo atlikti lietaus nuotekų šulinių bei vndentiekio šulinio remonto darbai</t>
  </si>
  <si>
    <t>Pastato Parko g.16 stogo ir stogelio prilydomosios dangos pūslių remonto darbai,  virš evakuacinio išėjimo laiptų stogelių atstatymo darbai</t>
  </si>
  <si>
    <t>Sedulinos al 49 panduso neįgaliesiems įrengimas</t>
  </si>
  <si>
    <t xml:space="preserve">Atliktų tyrimų skaičius </t>
  </si>
  <si>
    <t xml:space="preserve">
SAVIVALDYBĖS MISIJA IR VEIKLOS PRIORITETAI</t>
  </si>
  <si>
    <t xml:space="preserve">                             SAVIVALDYBĖS PLĖTROS TIKSLŲ IR UŽDAVINIŲ STEBĖSENA IKI  2030  M. </t>
  </si>
  <si>
    <t xml:space="preserve">VISAGINO SAVIVALDYBĖS  2023-2025 METŲ STRATEGINIO VEIKLOS PLANO 
ĮGYVENDINIMO 2023 M. ATASKAITA </t>
  </si>
  <si>
    <t xml:space="preserve">Pagrindinės prioritetinės sritys ir veiklos, kuriomis buvo vadovaujamasi vykdant veiklą 2023 m. </t>
  </si>
  <si>
    <t>Įdarbintos 2 gydomojo masažo specialistės  ir 2 slaugytojos</t>
  </si>
  <si>
    <t>Pirminės ambulatorinės sveikatos priežiūros paslaugos sveikatos apsaugos ministro nustatytų ūmių būklių atveju atliekamos  ne vėliau kaip per 24 valandas. VšĮ Visagino ligoninėje 2023 metais  rodiklis įvykdytas, aukščiau minėtos paslaugos teikiamos kreipimosi dieną.</t>
  </si>
  <si>
    <t>Pirminės ambulatorinės sveikatos priežiūros paslaugos  VšĮ Visagino ligoninėje suteikiamos kreipimosi metu. 2023 metais rodiklis įvykdytas</t>
  </si>
  <si>
    <t>2023 metais gydytojų kardiologų, neurologų ir endokrinologų  paslaugų suteikimui eilės buvo 31 ir daugiau dienų, pas kitus specialistus neviršija 30 dienų. Rodiklis įvykdytas nepilnai;</t>
  </si>
  <si>
    <t>2023 metais VšĮ Visagino ligoninėje atliktos 2 pacientų apklausos. Rodiklio rezultatas 0,9</t>
  </si>
  <si>
    <t>28</t>
  </si>
  <si>
    <t>2 projektai</t>
  </si>
  <si>
    <t>48</t>
  </si>
  <si>
    <t>2 projektai 1922 eur</t>
  </si>
  <si>
    <t xml:space="preserve">3605 eur </t>
  </si>
  <si>
    <t>4843 eur</t>
  </si>
  <si>
    <t xml:space="preserve">Įvykdyta 
</t>
  </si>
  <si>
    <t>Įvykdyta</t>
  </si>
  <si>
    <t xml:space="preserve">Įvykdyta iš dalies </t>
  </si>
  <si>
    <t>Įgyvendinant šią priemonę buvo užtikrinamas Lietuvos Respublikos vietos savivaldos įstatymo 67 straipsnio 3 dalies įgyvendinimas, kuris numato, kad savivaldybės taryba savivaldybės biudžete nustato savivaldybės kontrolės ir audito tarnybai skiriamų asignavimų dydį.
Priemonė įvykdyta iš dalies, kadangi nebuvo atliktos visos būtinos audito procedūros dėl darbuotojų trūkumo, Visagino savivaldybės kontrolės ir audito tarnyba 2023 metais nepateikė Audito išvados ir ataskaitos dėl savivaldybės 2022 metų konsoliduotųjų ataskaitų rinkinio ir savivaldybės biudžeto ir turto naudojimo.</t>
  </si>
  <si>
    <t xml:space="preserve">Įgyvendinant šią priemonę buvo užtikrinamas Lietuvos Respublikos vietos savivaldos įstatymo 7 straipsnio 8  punkto įgyvendinimas. Priemonė įvykdyta iš dalies, nes buvo įgyvendinama pagal poreikį. </t>
  </si>
  <si>
    <t xml:space="preserve">Įvykdyta </t>
  </si>
  <si>
    <t xml:space="preserve">Įvykdyta iš dalies
</t>
  </si>
  <si>
    <t xml:space="preserve">Įgyvendinant šią priemonę buvo užtikrinamas tarybos narių veiklos organizavimas. Priemonė įvykdyta iš dalies, nes suplanuotos lėšos buvo naudojamos pagal poreikį. </t>
  </si>
  <si>
    <t xml:space="preserve">Įgyvendinant šią priemonę buvo užtikrinamas Lietuvos Respublikos vietos savivaldos įstatymo 7 straipsnio 7 punkto įgyvendinimas. Priemonė įvykdyta iš dalies, nes buvo įgyvendinama pagal poreikį. </t>
  </si>
  <si>
    <t xml:space="preserve">Įgyvendinant šią priemonę buvo užtikrinamas Lietuvos Respublikos vietos savivaldos įstatymo 7 straipsnio 29 punkto įgyvendinimas. Priemonė įvykdyta iš dalies, nes buvo įgyvendinama pagal poreikį. </t>
  </si>
  <si>
    <t>Įgyvendinant šią priemonę buvo užtikrinamas Lietuvos Respublikos vietos savivaldos įstatymo 7 straipsnio 27 punkto įgyvendinimas. Priemonė įvykdyta iš dalies, nes buvo įgyvendinama pagal poreikį.</t>
  </si>
  <si>
    <t xml:space="preserve">Įgyvendinant šią priemonę buvo užtikrinamas Lietuvos Respublikos vietos savivaldos įstatymo  7 straipsnio 36 punkto įgyvendinimas. Priemonė įvykdyta iš dalies, nes buvo įgyvendinama pagal poreikį. </t>
  </si>
  <si>
    <t>Įgyvendinant šią priemonę buvo užtikrinamas Lietuvos Respublikos vietos savivaldos įstatymo 7 straipsnio 3 punkto įgyvendinimo užtikrinimas.  Priemonė įvykdyta iš dalies, nes buvo įgyvendinama pagal poreikį.</t>
  </si>
  <si>
    <t>Įgyvendinant šią priemonę buvo užtikrinamas Lietuvos Respublikos vietos savivaldos įstatymo 7 straipsnio 35 punkto įgyvendinimas. Priemonė įvykdyta iš dalies, nes buvo įgyvendinama pagal poreikį.</t>
  </si>
  <si>
    <t xml:space="preserve">Neįvykdyta </t>
  </si>
  <si>
    <t>Įgyvendindama strateginius tikslus, savivaldybė vykdo investicinius projektus, kuriems finansuoti buvo imamos ilgalaikės paskolos iš bankų. Vykdant šią priemonę, mokamos paskolos ir palūkanos pagal pasirašytas kredito linijos sutartis ir banko paslaugos už sąskaitų aptarnavimą. Priemonė įvykdyta iš dalies, nes buvo įgyvendinama pagal poreikį.</t>
  </si>
  <si>
    <t>Įgyvendinant šią priemonę, finansuojami įvairūs savivaldybės 
prisiimti įsipareigojimai po projektų įgyvendinimo (nekilnojamojo turto draudimas ir kita). Priemonė įvykdyta iš dalies, nes buvo įgyvendinama pagal poreikį.</t>
  </si>
  <si>
    <t>Įgyvendinant šią priemonę buvo tinkamai organizuotas savivaldybės duomenų atvėrimas visuomenei, teisingai nustatyti duomenų atvėrimo uždaviniai ir prioritetai bei efektyviausi būdai juos atverti. Atnaujinti 3 duomenų rinkiniai, pateiktas atverti 1 naujas duomenų rinkinys (daugiau puslapyje https://data.gov.lt)
Priemonė įvykdyta iš dalies, nes buvo įgyvendinama pagal poreikį.</t>
  </si>
  <si>
    <t xml:space="preserve">2023 metais buvo įrengta LED lauko ekrano konstrukcija, paklotas elektros energijos tiekimo kabelis ir sutvarkyta aplinka. Priemonė įgyvendinta iš dalies,  dėl sutartinių įsipareigojimų nevykdymo (sumontuotas LED ekranas neatitiko techninėje specifikacijoje nurodytų parametrų) su LED ekrano tiekėju nutraukta pirkimo-pardavimo sutartis. Siekiant įvykdyti priemonės įgyvendinimą pilna apimtimi, 2024 m. vykdomas naujas pirkimas LED lauko ekranui įsigyti. </t>
  </si>
  <si>
    <t xml:space="preserve">Siekiant tinkamai organizuoti Visagino savivaldybę reprezentuojančių priemonių įgyvendinimą bei užtikrinti į Visagino savivaldybę atvykstančių svečių ir delegacijų priėmimą reprezentacijai skirtos lėšos buvo naudojamos įsigyti gėles, gėlių puokštes bei kt. prekes pagal poreikį, perkant reprezentacinius suvenyrus ir dovanas bei organizuojant maitinimo paslaugas savivaldybės svečiams. Priemonės įgyvendinimui buvo panaudota lėšų mažiau nei planuota, nes  buvo naudojamos pagal poreikį.  </t>
  </si>
  <si>
    <t>Įgyvendinant šią priemonę planuojama  dalyvauti Lietuvos savivaldybių asociacijos veikloje.</t>
  </si>
  <si>
    <t xml:space="preserve">Įvykdyta
</t>
  </si>
  <si>
    <t xml:space="preserve">Ši priemonė įgyvendinama vadovaujantis Neformaliojo vaikų švietimo programų finansavimo ir administravimo tvarkos aprašu, patvirtintu Lietuvos Respublikos švietimo, mokslo ir sporto ministro 2022 m. sausio 10 d. įsakymu Nr. V-46 „Dėl Neformaliojo vaikų švietimo programų finansavimo ir administravimo tvarkos aprašo patvirtinimo“. Neformaliojo vaikų švietimo lėšos savivaldybei skiriamos Lietuvos Respublikos švietimo, mokslo ir sporto ministro įsakymu einamiesiems kalendoriniams metams. Šios lėšos savivaldybei apskaičiuojamos visas neformaliojo vaikų švietimo lėšas padalinus iš Lietuvos mokinių, kurie praėjusių kalendorinių metų rugsėjo 1 d. mokėsi pagal bendrojo ugdymo programas, skaičiaus ir padauginus iš savivaldybėje praėjusių kalendorinių metų rugsėjo 1 d. besimokiusių mokinių skaičiaus. Neformaliojo vaikų švietimo lėšas savivaldybė naudoja neformaliojo vaikų švietimo programoms finansuoti ir aukščiau minėto aprašo įgyvendinimui administruoti, neviršijant 3 proc. savivaldybei skirtos lėšų sumos. Taip pat šia priemone buvo užtikrintas viešosios įstaigos Visagino edukacijų centro viešųjų paslaugų teikimas ir biudžetinės įstaigos Visagino kūrybos ir menų akademijos ugdymo veiklos užtikrinimas. Ataskaitiniu laikotarpiu neformalaus švietimo ugdymo veikloje dalyvavo 2263 ugdytiniai.  Lėšos priemonės įgyvendinimui buvo panaudotos iš dalies, nes buvo naudojamos pagal poreikį. </t>
  </si>
  <si>
    <t>Neįvykdyta</t>
  </si>
  <si>
    <t>Mokyklos, kuriose buvo įdiegtos universalaus dizaino ir kitos inžinerinės priemonės, pritaikant aplinką asmenims, turintiems negalią / skaičius</t>
  </si>
  <si>
    <t>edukacijų centras   (VSA)</t>
  </si>
  <si>
    <t>asociacija visaginietis   (VSA)</t>
  </si>
  <si>
    <t>sporto ir rekreac centr (VSA)</t>
  </si>
  <si>
    <t>graikų romėnų  (VSA)</t>
  </si>
  <si>
    <t>biatlonas (VSA)</t>
  </si>
  <si>
    <t>krepšinio  (VSA)</t>
  </si>
  <si>
    <t>Įvykdyta iš dalies</t>
  </si>
  <si>
    <t xml:space="preserve">Įgyvendinant šią priemonę planuojama prisidėti prie esamų sporto bazių plėtros, priežiūros ir remonto bei užtikrinti dalinį finansavimą Sporto rėmimo fondo lėšomis finansuojamiems projektams. Teikiamų projektų tikslas – prisidėti prie sporto bazių prieinamumo didinimo, sąlygų įvairaus amžiaus ir poreikių asmenų fiziniam aktyvumui gerinimo ir organizuotai sportuojančių asmenų skaičiaus didėjimo. Priemonės poveikio rodiklis buvo neįvykdytas, nes pateiktos paraiškos negavo finansavimo iš Sporto rėmimo fondo. </t>
  </si>
  <si>
    <t xml:space="preserve">Lėšos buvo panaudotos NVO tarybos veiklos užtikrinimui. Sudaryta nauja taryba, įsigytos reprezentacinės priemonės. Poveikio rodiklis nepasiektas, nes ataskaitiniu laikotarpiu Visagino savivaldybėje nebuvo išrinktų seniūnaičių. </t>
  </si>
  <si>
    <t>Projektas finansuojamas iš Prieglobsčio, migracijos ir integracijos fondo priemonės „Pagalba ekstremaliosios situacijos atveju“ lėšų. 
Pagrindinės projekto veiklos individualios psichologų konsultacijos; teisinės konsultacijos / informacijos teikimo paslaugos; savitarpio pagalbos ir streso valdymo grupės; psichotropinių medžiagų vartojimo, nelegalaus darbo mažinimo, prekybos žmonėmis prevencinės priemonės; kūrybinių dirbtuvių ukrainiečiams ir vietos bendruomenės nariams organizavimas; verslumo ugdymo ir įdarbinimo skatinimo seminarai ir individualios konsultacijos moterims ir merginoms; sporto ir sveikatingumo užsiėmimai; edukacinės programos sociokultūrinei ir pilietinei užsieniečių integracijai.
Projekto partneriai: BĮ Visagino šeimos ir vaiko gerovės centras, NVO Visagino šeimos krizių centras, NVO LRKD Visagino skyrius, NVO Visagino ukrainiečių bendrija, VšĮ Visagino ekonomikos plėtros agentūra, NVO  Trečiojo amžiaus universitetas, BĮ Visagino viešoji biblioteka.
Poveikio rodiklis nepasiektas, nes projekto veiklų įgyvendinimo pabaiga planuojama 2024 m.</t>
  </si>
  <si>
    <t>668</t>
  </si>
  <si>
    <t>74</t>
  </si>
  <si>
    <t xml:space="preserve">Visagino savivaldybės tarybos 2011 m. vasario 17 d. sprendimu Nr. TS-18 „Dėl mokesčių asmenims, kuriems nustatytas specialusis nuolatinės slaugos poreikis, kompensavimo“ neįgaliems asmenims su sunkia negalia kompensuojami mokesčiai už komunalines paslaugas (laiptinių ir rūsių apšvietimas, liftas, bendro naudojimo vietų valymas), kuriomis jie nesinaudoja (savivaldybės biudžeto lėšos).  Priemonė įvykdyta iš dalies, nes įgyvendinama pagal poreikį. </t>
  </si>
  <si>
    <t xml:space="preserve">Transporto paslaugų organizavimas ir teikimas  vaikams su negalia ir jų šeimoms, suaugusiems asmenims su negalia ir jų šeimoms, senyvo amžiaus asmenims ir jų šeimoms, socialinę riziką patiriančioms šeimoms, asmenims, kurie dėl ligos negali naudotis visuomeniniu ar individualiu transportu. Priemonė įvykdyta iš dalies, nes įgyvendinama pagal poreikį. </t>
  </si>
  <si>
    <t xml:space="preserve">Projektą planuojama įgyvendinti 2021-2027 m.  Europos Sąjungos investicijų programos lėšomis. Paraiška projekto finansavimui gauti pateikta 2023 m. gruodžio mėn. Projekto finanansavimo ir administravimo sutartį planuojama pasirašyti 2024 m. II ketvirtyje. Planuojamos įgyvendinti projekto  veiklos:
1) Techninio projekto parengimas;
2) Esamų savivaldybės valdomo gyvenamojo fondo patalpų (bendrabučio kambarių) kapitalinis remontas, pritaikant socialiniams būstams 23 butus (1 fligelį), planuojamas plotas 1308,6 kv. m.  
Planuojama darbų pradžia 2024 m. IV ketvirtis.  
2023 metais buvo paruošta projektavimo užduotis ir atliktos projekto parengimo (korektūros) paslaugų pirkimo procedūros. 
Priemonės įvykdymo rodiklį planuojama pasiekti 2025 m. baigus įgyvendinti projekto veiklas. 
</t>
  </si>
  <si>
    <t>98</t>
  </si>
  <si>
    <t>Kompleksines paslaugas gavusių šeimų skaičius</t>
  </si>
  <si>
    <t>471</t>
  </si>
  <si>
    <t xml:space="preserve">Priemonės įvykdymo rodiklis nebuvo pasiektas, nes 2023 m. Visagino garbės piliečio vardas nebuvo niekam suteiktas, tačiau garbės piliečiams buvo dovanoti bilietai į Tarptautinį kantri muzikos festivalį „Visagino country“,  taip pat garbės piliečiai buvo sveikinami jubiliejaus proga. </t>
  </si>
  <si>
    <t xml:space="preserve">Priemonės įgyvendinimo rodiklis nebuvo pasiektas, nes projektui nebuvo gautas finansavimas. </t>
  </si>
  <si>
    <t xml:space="preserve">Projekto vykdytojas: Valstybės vaiko teisių apsaugos ir įvaikinimo tarnyba prie Socialinės apsaugos ir darbo ministerijos. Projekto partneriai: Visagino savivaldybės administracija ir Visagino šeimos ir vaiko gerovės centras. 
Projekto tikslas – diegti ir vystyti paslaugas, kurios skatintų ir palaikytų vaikų globą šeimos aplinkoje, užtikrinant vaikų poreikius ir saugumą. Projekto laikotarpiu bus teikiamos bendruomeninės paslaugos tėvų globos netekusiems vaikams, įskaitant kūdikius. Siekiama užtikrinti vaikų teises turėti šeimą ir augti saugioje aplinkoje. Taip pat numatoma visų savivaldybių globos centrų specialistų kompetencijų kėlimas, globėjų ir įtėvių rengimo programos tobulinimas, teisės aktų pakeitimai tobulinant vaikų globos sistemą, tinklaveika, visuomenės švietimas ir viešieji ryšiai nacionaliniu ir savivaldybės lygiais, numatoma plėtoti budinčių globotojų institutą, bei įdiegti nuolatinių globotojų institutą. Projekto lėšomis  finansuojamas globos koordinatoriaus (1,25 etato), psichologo (0,6 etato) darbo užmokestis.
Projekto pradžia - 2023-07-01
Projekto pabaiga - 2026-06-30
Priemonės įvykdymo rodiklis pasiektas iš dalies, nes pagalba globėjams teikiama pagal poreikį. </t>
  </si>
  <si>
    <t xml:space="preserve">30,7*
*Duomenys 
už  2022 m. </t>
  </si>
  <si>
    <t xml:space="preserve">Priemonės įvykdymo rodiklis nepasiektas, nes ataskaitiniu laikotarpiu vyko pasiruošimas projekto įgyvendinimui. </t>
  </si>
  <si>
    <r>
      <t>Projektas įgyvendinamas  2021-2027 m. Europos Sąjungos investicijų programos lėšomis. Projekto tikslas- užtikrinti efektyvesnį, kokybiškesnį psichiatrijos sveikatos paslaugų teikimą Visagino savivaldybėje.
Projekto uždaviniai:
- Suremontuoti ir įrengti Visagino PSPC II aukšto patalpas.
- Įsigyti psichikos sveikatos priežiūros paslaugų teikimui reikalingą įrangą ir baldus.
- Įsteigti 12 vietų dienos stacionarą Visagino PSPC.
-  Pagerinti psichikos sveikatos priežiūros paslaugų prieinamumą Visagino PSPC.  Projektą įgyvendina VšĮ Visagino pirminės sveikatos priežiūros</t>
    </r>
    <r>
      <rPr>
        <sz val="9"/>
        <color rgb="FFFF0000"/>
        <rFont val="Arial"/>
        <family val="2"/>
      </rPr>
      <t xml:space="preserve"> </t>
    </r>
    <r>
      <rPr>
        <sz val="9"/>
        <rFont val="Arial"/>
        <family val="2"/>
      </rPr>
      <t xml:space="preserve">centras.
Priemonės įvykdymo rodiklis nepasiektas, nes ataskaitiniu laikotarpiu vyko projekto įgyvendinimas. Rodiklis bus pasiektas įgyvendinus projekto veiklas  2025 m. </t>
    </r>
  </si>
  <si>
    <t>132</t>
  </si>
  <si>
    <t xml:space="preserve">Priemonės įgyvendinimo rodiklis nepasiektas, nes ataskaitiniu laikotarpiu buvo parengtas techninis projektas ir išduotas statybos leidimas.  2024 m. planuojama vykdyti darbus. </t>
  </si>
  <si>
    <t>Ataskaitiniu laikotarpiu buvo organizuotas ir koordinuotas mokinių pavėžėjimas iš kaimo vietovių į Visagino švietimo įstaigas bei sudarytos sutartys su UAB „Zarasų autobusai“, UAB „Ignalinos autobusų parkas“ ir UAB „Kautra“ dėl mokinių pavėžėjimo viešuoju transportu. Mokinių, kuriems padengtos kelionės (bilietų) išlaidos į (iš) mokyklas(os), skaičius – 0, kadangi iš Ignalinos pusės visi mokiniai buvo vežami su mokykliniais autobusais, o iš Zarasų pusės, kurie važiuoja, buvo vežami  nemokamai, nes Zarasų savivaldybė mokinius veža nemokamai.Taip pat mokiniai į mokyklas buvo pavežami mokykliniais autobusais. Mokinių pavežėjimą  mokykliniais autobusais vykdė ir už jų eksploatavimą buvo atsakingas Visagino rekreacijos paslaugų centras.</t>
  </si>
  <si>
    <t xml:space="preserve"> Visagino savivaldybėje šiuo metu įrengtos ir veikia  5 viešosios elektromobilių įkrovimo aikštelės  su 11 įkrovimo prieigų. Ataskaitiniu laikotarpiu suvartota 157853,00 kW elektros energijos. 3 aikštelės nuo 2023-10-01 buvo apmokestintos, sudaryta apmokestinimo ir administravimo paslaugų sutartis su UAB Elinta Charge (likusios 2 aikštelės galės būti apmokestintos tik nuo 2025-10-01). Už naudojimąsi aikštelėmis per 2023 m. spalio-gruodžio mėn. buvo surinkta 208,40 Eur, už administravimą sumokėta 50,97 Eur. Priemonės įvykdymo rodiklis nepasiektas, nes nėra poreikio įrengti daugiau elektromobilių įkrovimo aikštelių.</t>
  </si>
  <si>
    <t>Priemonės įvykdymo rodiklis nepasiektas, nes įgyvendinant priemonę buvo  ieškomi sprendimo būdai ir  finansavimo galimybės pastato, esančio Vilties g. 3, rekonstravimui ir pritaikymui daugiafunkcio centro įrengimui.</t>
  </si>
  <si>
    <t xml:space="preserve">Vadovo pranešimas </t>
  </si>
  <si>
    <t xml:space="preserve">VISAGINO SAVIVALDYBĖS  VEIKLOS ATASKAITA </t>
  </si>
  <si>
    <r>
      <rPr>
        <b/>
        <sz val="12"/>
        <rFont val="Arial"/>
        <family val="2"/>
      </rPr>
      <t xml:space="preserve">
2023 M. VEIKLOS TIKSLAI IR  REZULTATAI</t>
    </r>
    <r>
      <rPr>
        <b/>
        <sz val="9"/>
        <rFont val="Arial"/>
        <family val="2"/>
        <charset val="186"/>
      </rPr>
      <t xml:space="preserve">
</t>
    </r>
    <r>
      <rPr>
        <i/>
        <sz val="9"/>
        <rFont val="Arial"/>
        <family val="2"/>
      </rPr>
      <t>(informacija apie mero veiklos rezultatus)</t>
    </r>
    <r>
      <rPr>
        <b/>
        <sz val="9"/>
        <rFont val="Arial"/>
        <family val="2"/>
      </rPr>
      <t xml:space="preserve">
</t>
    </r>
  </si>
  <si>
    <r>
      <rPr>
        <b/>
        <sz val="12"/>
        <rFont val="Arial"/>
        <family val="2"/>
      </rPr>
      <t xml:space="preserve">REGIONINIS PLANAVIMAS 2023 m. </t>
    </r>
    <r>
      <rPr>
        <b/>
        <sz val="9"/>
        <rFont val="Arial"/>
        <family val="2"/>
      </rPr>
      <t xml:space="preserve">
</t>
    </r>
    <r>
      <rPr>
        <i/>
        <sz val="9"/>
        <rFont val="Arial"/>
        <family val="2"/>
      </rPr>
      <t>(informacija apie regionų plėtros programoje, regiono plėtros plane nustatytų uždavinių ir jų vertinimo rodiklių reikšmių pasiekimą atitinkamais finansiniais metais)</t>
    </r>
  </si>
  <si>
    <t xml:space="preserve">
PROGRAMOS
</t>
  </si>
  <si>
    <t>Atliktų Centralizuoto savivaldybės vidaus audito skyriaus auditų skaičius</t>
  </si>
  <si>
    <t>Autoįvykių skaičius per metus (Kelių eismo įvykiai, kuriuose nukentėjo žmonės)</t>
  </si>
  <si>
    <t>13, 1 žuvo</t>
  </si>
  <si>
    <t>21 vnt. (2021)</t>
  </si>
  <si>
    <t xml:space="preserve">~3 proc. </t>
  </si>
  <si>
    <t xml:space="preserve">7 proc. </t>
  </si>
  <si>
    <t>254 tūkst./ metus</t>
  </si>
  <si>
    <t>4156 tūkst./ metus</t>
  </si>
  <si>
    <t xml:space="preserve">Įgyvendinant šią priemonę buvo užtikrinamas Lietuvos Respublikos vietos savivaldos įstatymo 7 straipsnio 1 punkto įgyvendinimas. Priemonė įvykdyta iš dalies, nes buvo įgyvendinama pagal poreikį. </t>
  </si>
  <si>
    <t xml:space="preserve">Įgyvendinant šią priemonę buvo užtikrinamas Lietuvos Respublikos vietos savivaldos įstatymo 7 straipsnio 20 punkto įgyvendinimas. Priemonė neįvykdyta, nes ši funkcija  nebuvo vykdoma (nebuvo formuojami valstybinės žemės sklypai) . </t>
  </si>
  <si>
    <t xml:space="preserve">Įgyvendinant šią priemonę buvo užtikrinamas Lietuvos Respublikos vietos savivaldos įstatymo 7 straipsnio 34 punkto įgyvendinimas.  Priemonė įvykdyta iš dalies, nes  buvo planuojama įsigyti geoduomenų bazes, tačiau 2023 m. interneto svetainėje www.planuojustatau.lt    visuomenei buvo atverta nemaža dalis visos Lietuvos geoduomenų  bazių (žemėlapių), ir planuojama jas plėsti, todėl tapo netikslinga naudoti savivaldybės biudžeto lėšas ir įsigyti savo teritorijos žemėlapius. </t>
  </si>
  <si>
    <t>Įgyvendinant šią priemonę buvo tinkamai valdomas  ir administruojamas savivaldybės turtas, išlaikomi savivaldybės pastatai, apmokama už komunalines paslaugas (Draugystės g. 10, Vilties g. 3, Taikos pr. 23, Taikos pr. 15 D). Priemonė įvykdyta iš dalies, nes buvo įgyvendinama pagal poreikį.</t>
  </si>
  <si>
    <t>Įgyvendinant šią priemonę buvo įgyvendinamos 3 sutartys: 
1) 2023-11-10  Pastatų šilumos punktų priežiūros paslaugų pirkimo-pardavimo sutartis Nr. 5-501, 
2) 2022-09-27 Pirkimo sutartis Nr.5-452 (Parko g. 14 statinio techninės priežiūros sutartis), 
3) 2023-08-21 Pirkimo sutartis Nr.5-383  (Vilties g. 3, Draugystės g. 10, Taikos pr. 15D, Taikos pr. 23,  statinio techninės priežiūros sutartis).</t>
  </si>
  <si>
    <t>Įgyvendinama techninės priežiūros savivaldybės administracijos patikėjimo teise valdomiems statiniams ir bendrojo naudojimo inžineriniams tinklams paslaugų sutartis</t>
  </si>
  <si>
    <t>Įgyvendinant šią priemonę buvo atlikti nekilnojamojo turto kadastriniai matavimai, pateiktos 23 bylos, įregistruoti 2 objektai. Atlikta 10 nekilnojamojo turto vertinimų. Priemonė įvykdyta iš dalies, nes buvo įgyvendinama pagal poreikį.</t>
  </si>
  <si>
    <t xml:space="preserve"> Įgyvendinant priemonę  buvo planuojama viešame aukcione parduoti savivaldybės nekilnojamąjį turtą ir kitus nekilnojamuosius daiktus bei užtikrinti sistemos administravimo mokestį. Priemonė nebuvo vykdoma, nes ataskaitiniu laikotarpiu keitėsi darbuotojai, dirbantys su turto valdymu, buvo tvarkomos sutartys su Registrų centru dėl naujų darbuotojų prieigų sukūrimo.</t>
  </si>
  <si>
    <t xml:space="preserve">Mero rezervo lėšos gali būti naudojamos ekstremaliosioms situacijoms  ir (arba) ekstremaliesiems įvykiams likviduoti, jų padariniams šalinti ir padarytiems nuostoliams iš dalies apmokėti, gaisrų, stichinių nelaimių ir kitų įvykių padariniams likviduoti ir jų padarytiems nuostoliams iš dalies apmokėti, dėl nepaprastosios padėties atsiradusioms išlaidoms iš dalies apmokėti ir (arba) jos padariniams šalinti. Priemonė nebuvo įgyvendinta, nes nebuvo poreikio naudoti mero rezervo lėšas. </t>
  </si>
  <si>
    <t xml:space="preserve">Savivaldybės finansinių įsipareigojimų vykdymas po projektų įgyvendinimo (draudimas ir kt.), vnt. </t>
  </si>
  <si>
    <t xml:space="preserve">Įgyvendinant šią priemonę buvo vykdoma Visagino savivaldybės korupcijos prevencijos 2022–2024 metų veiksmų plano 2.2. priemonė „Vaikų, jaunimo, bendruomenės švietimas apie korupcijos daromą žalą visuomenei ir jų įtraukimas į antikorupcinę veiklą". 2023 m. lapkričio–gruodžio mėnesiais kartu su Visagino savivaldybės tarybos Antikorupcijos komisija buvo organizuotas Visagino savivaldybės 2023 metų piešinių, plakatų, skrajučių (lankstinukų), vaizdo projektų konkurso „Mes prieš korupciją“, skirtas Tarptautinei antikorupcijos dienai. Visi konkurso dalyviai už dalyvavimą konkurse buvo paskatinti atminimo dovanėlėmis, o laimėtojai pagal amžiaus grupes ir kūrybinių darbų kategorijas - vertingais prizais.   </t>
  </si>
  <si>
    <t xml:space="preserve">Ataskaitiniu laikotarpiu buvo atlikti 9 pirkimai darbuotojų darbo poreikiams reikalingos įrangos įsigijimui ir atnaujinimui. Iš viso įsigyta: nešiojamųjų kompiuterių 19 vnt., monitorių 11 vnt., spausdintuvų 7 vnt., bendrai 37 technikos vienetai. Taip pat  nuolat buvo  prižiūrimos ir atnaujinamos posėdžių salių informacinės sistemos, diegta konferencinė įranga,  koreguota balsavimo sistema pasikeitus teisės aktų reikalavimams. Atlikta DVS Kontora ir Turto valdymo informacinių sistemų duomenų sinchronizacija, perkelti duomenys iš NTR registro, bendradarbiaujant su Vietinio ūkio skyriumi parengta 10 dokumentų ruošinių (sutartys ir aktai), kurie susieti su Turto valdymo sistema. Nuolat prižiūrimos ir atnaujinamos informacinės sistemos. Teikti duomenys valstybės duomenų agentūrai dėl „Duomenų ežero" kūrimo. </t>
  </si>
  <si>
    <t>Įgyvendinant šią priemonę  vykdomos  ES bendrajame duomenų apsaugos reglamente numatytos funkcijos. Tam tikslui pasirašyta duomenų apsaugos pareigūno paslaugų sutartis. 
Taip pat užtikrinamas visų biudžetinių įstaigų bendrosios civilinės atsakomybės draudimo sutartinių įsipareigojimų vykdymas (pasirašyta sutartis). Atliktas pirkimas ir pasirašyta 2023-08-16 Duomenų apsaugos pareigūno paslaugų teikimo sutartis Nr. 5-377 su MB „Dejuris" (3 metų laikotarpis, centralizuotai, 17 įstaigų). Priemonė įvykdyta iš dalies, nes buvo įgyvendinama pagal poreikį.</t>
  </si>
  <si>
    <t xml:space="preserve">Siekiant įgyvendinti šią priemonę buvo rengiami strateginio planavimo dokumentai.  Parengtas  ir patvirtintas 2023-2030 m. strateginis plėtros planas, 2023-2025 m. strateginis veiklos planas, 2023 m. metinis administracijos planas. Priemonės įgyvendinimui numatytos lėšos nebuvo panaudotos, nes 2023-2030 m. strateginio plėtros plano parengimui buvo nuspręsta nepirkti rengimo paslaugos. </t>
  </si>
  <si>
    <t xml:space="preserve">Pagal pasirašytą sutartį su UAB „Komunikacijų erdvės“ parengta 
16 vaizdinių reportažų ir publikacijų, skelbtų portale Delfi.lt, Lrt.lt, Lrytas.lt. Informacija skelbta socialiniuose tinkluose – „Facebook“, „Instagram“, kanale - „Youtube“. Dalinimasis informacija keliuose socialiniuose tinkluose užtikrino skirtingų gyventojų grupių įsitraukimą bei tapo didėjančio sekėjų skaičiaus priežastimi. Per metus oficialaus Visagino savivaldybės FB puslapio sekėjų skaičius didėjo bene 500 vartotojų – 2023 m. sausį buvo 3680 vartotojų, o 2023 m. gruodį – 4156, „Instagram“ sekėjų – 305 nauji vartotojai. Priemonės įgyvendinimui buvo panaudota lėšų mažiau nei planuota, nes informacijos sklaidos paslaugos buvo atliekamos nemokamai arba įsigytos už mažesnę kainą nei planuota. </t>
  </si>
  <si>
    <t>Ataskaitiniu laikotarpiu tarptautinių bendradarbiavimo sutarčių nebuvo pasirašyta, tačiau ateinančiame laikotarpyje planuojama skirti daugiau dėmesio Visagino savivaldybės įvaizdžiui užsienio šalyse formuoti ir savivaldybės veiklos užsienio ryšių klausimams koordinuoti, taip pat kviesti miestų partnerių atstovus į kultūros, sporto renginius, plėsti bendradarbiavimo su užsienio partneriais ratą. Stiprinti tarptautinį bendradarbiavimą bendradarbiaujant vietos valdžios institucijoms, keičiantis gerąja patirtimi, ieškant pažangių sprendimų, kuriant ir diegiant inovacijas ir kt.</t>
  </si>
  <si>
    <t>Vykdoma</t>
  </si>
  <si>
    <t>Įgyvendinant priemonę buvo vykdoma švietimo sistemos stebėsena savivaldybėje, taip pat buvo užtikrinamas mokinių, besimokančių lopšelyje-darželyje „Auksinis gaidelis“, vaikų lopšeliuose-darželiuose „Auksinis raktelis“, „Ąžuoliukas“, „Gintarėlis“, „Kūlverstukas“ pagal ikimokyklinio ir priešmokyklinio ugdymo programas, „Verdenės“ gimnazijoje, „Žiburio“ pagrindinėje mokykloje, „Atgimimo“ gimnazijoje, Draugystės ir „Gerosios vilties“ progimnazijose pagal pradinio, pagrindinio ir vidurinio ugdymo programas mokymo reikmių tenkinimas, Visagino kūrybos ir menų akademijos neformaliojo vaikų bei formalųjį švietimą papildančio ugdymo programų įgyvendinimas, Švietimo pagalbos tarnybos neformaliojo suaugusiųjų švietimo programoms įgyvendinimas, teikiama pedagoginė psichologinė pagalba.  Priemonės įgyvendinimui stebėti stebėsenos rodikliai, patvirtinti Visagino savivaldybės švietimo stebėsenos rodiklių sąraše, patvirtintame 2022-03-14 Visagino savivaldybės administracijos direktoriaus įsakymu Nr. ĮV-E- 123 „Dėl Visagino savivaldybės švietimo stebėsenos rodiklių sąrašo patvirtinimo" .</t>
  </si>
  <si>
    <t xml:space="preserve">Įgyvendinant priemonę buvo užtikrinamas besimokančiųjų iniciatyvų skatinimas, pažinimo, lavinimosi, saviraiškos galimybių užtikrinimas ir konkursų, olimpiadų organizavimas. Dalyvavimas diagnostiniame ir standartizuotame testavime, olimpiadų, konkursų, varžybų organizavimas, mokinių dalyvavimas „Kultūros paso“ programose, regiono, šalies konkursuose, atrankose, kituose renginiuose pagal atskirai gautus raštus, dalyvavimo kaštų apmokėjimas, Visagino savivaldybėje gyvenančių suaugusių asmenų mokymasis pagal NSŠTM programas. Programos finansuojamos konkurso būdu pagal Visagino savivaldybės tarybos 2016 m. birželio 30 d. sprendimu Nr. TS-126 patvirtintą Visagino savivaldybės NSŠTM programų, finansuojamų savivaldybės biudžeto lėšomis, finansavimo ir atrankos aprašą, įgyvendinimo priežiūra, miesto turo dalykinių olimpiadų ir konkursų vykdymas, nugalėtojų apdovanojimas, apmokėjimas užduočių rengėjams, dalyvavimo šalies olimpiadose ir konkursuose užtikrinimas, Suaugusiųjų švietimo savaitės renginių organizavimas, dalyvavimas Suaugusiųjų švietimo savaitės respublikos, regiono renginiuose, svariausių laimėjimų pasiekusių savivaldybės mokinių pagerbimo renginio organizavimas, kitos veiklos, padedančios siekti numatyto uždavinio. Priemonė įvykdyta iš dalies, nes lėšos buvo naudojamos pagal poreikį. </t>
  </si>
  <si>
    <t>Įgyvendinant priemonę buvo užtikrinamas švietimo sistemos viešojo administravimo ir švietimo įstaigų priežiūros specialistų mokyklų konsultavimo kompetencijų tobulinimas, mokyklų veiklos kokybės, ugdymo pasiekimų vertinimo rezultatų tobulinimo ir ekspertų/konsultantų rekomendacijų įgyvendinimas, dalykinių, edukacinių priemonių švietimo darbuotojams vykdymas, valstybinės švietimo strategijos priemonių įgyvendinimo priemonės, vykimas į kitas savivaldybes, Nacionalinio diktanto I ir II etapų organizavimas, LR Konstitucijos egzamino I ir II etapų organizavimas, Nacionalinės bibliotekų savaitės organizavimas, švietimo įstaigų vadovų pasitarimų, metinės konferencijos organizavimas, apmokėjimas už vadybos ekspertų darbą ekspertizių metu, Švietimo, mokslo ir sporto ministerijos, kitų švietimo veiklą reguliuojančių institucijų renginiai, veiklos, susijusios su Savivaldybės dalyvavimu nacionaliniuose projektuose, kitos veiklos, padedančios siekti numatyto uždavinio. Pirmas priemonės įgyvendinimo  rodiklis buvo įvykdytas iš dalies, nes ataskaitiniu laikotarpiu buvo gauta 18 programų, 2 programos neatitiko kriterijų, finansuota 12 programų,  4 nefinansuotos.</t>
  </si>
  <si>
    <t>Įgyvendinant priemonę vyko parengiamieji ir egzaminų vykdymo, mokinių pasiekimų tikrinimo darbai (išsilavinimo pažymėjimų blankų pateikimas, išdavimas mokykloms ir apskaita, dalyvavimas mokymuose dėl mokinių pasiekimų vertinimo, NMPP, brandos egzaminų ir PUPP organizavimo ir vykdymo, kitos veiklos, padedančios siekti numatyto uždavinio).</t>
  </si>
  <si>
    <t>Neformaliojo vaikų švietimo programų įgyvendinimui skirtų lėšų panaudojimas</t>
  </si>
  <si>
    <t xml:space="preserve">Įgyvendinant šią priemonę bus užtikrintas Visagino savivaldybės bendrojo ugdymo mokyklų tinklo pertvarkos priemonių plano, patvirtinto 2022 m. kovo 31 d. Visagino savivaldybės tarybos Nr. TS-33 „Dėl Visagino savivaldybės bendrojo ugdymo mokyklų tinklo pertvarkos 2022–2026 metų bendrojo plano patvirtinimo“, įgyvendinimas. Lėšos priemonės įgyvendinimui buvo nepanaudotos, nes nebuvo poreikio. </t>
  </si>
  <si>
    <t xml:space="preserve">Įgyvendinant šią priemonę dalyvaujama „Tūkstantmečio mokyklų“ programos įgyvendinime (toliau tekste – Programa), kurios pagrindinis tikslas iki 2030 m. kiekvienoje Lietuvos savivaldybėje sukurti integralias, optimalias ir kokybiškas ugdymo sąlygas mokinių atotrūkiams mažinti. Programos I etapo  pradžia 2022 m. sausio 2 d., pabaiga 2026 m. rugpjūčio 31 d.  2023 m. birželio mėn. buvo pasirašyta Jungtinės veiklos sutartis įgyvendinant projektą „Tūkstantmečio mokyklos I“ tarp Visagino savivaldybės administracijos, „Atgimimo" gimnazijos, „Verdenės" gimnazijos ir „Žiburio" pagrindinės mokyklos.  Pagal patvirtintą Pažangos planą buvo parengtas investicijų projektas, organizuoti viešojo pirkimo konkursai projektavimo, rangos darbų bei kavlifikacijos tobulinimo mokymams organizuoti. Priemonės įgyvendinimui numatytos lėšos buvo įgyvendintos iš dalies, nes ataskaitiniu laikotarpiu vyko viešojo pirkimo konkursai techninei dokumentacijai ir mokymo paslaugoms įsigyti. </t>
  </si>
  <si>
    <t xml:space="preserve">Priemonės įgyvendinimo poveikio rodiklis nebuvo pasiektas, nes ataskaitiniu laikotarpiu buvo vykdomi administracinio pobūdžio darbai t. y. buvo planuojama kur įrengti patalpas, kaip suburti žmogiškuosius išteklius, suderinti bendrojo ugdymo programų turinį su Niutono kambario turiniu, taip pat pasirašyti partnerystės sutartis, dalyvauti stažuotėse, mokėti tinklo dalyvio mokestį, vykdyti kitas veiklas, būtinas koncepto startui. Švietimo pagalbos tarnybos, „Žiburio" pagrindinės mokyklos ir administracijos atstovai dalyvavo stažuotėje Norvegijoje, kur sėmesi patirties kaip organizuoti darbus Lietuvoje. </t>
  </si>
  <si>
    <t xml:space="preserve">Įgyvendinant projektą planuojama įrengti šiuo metu nenaudojamas patalpas Visagino lopšeliuose-darželiuose, pritaikant (rekonstruojant, remontuojant) šias patalpas kokybiškai vykdyti ikimokyklinio ir priešmokyklinio ugdymo programas bei siekiant didinti Visagino lopšelių-darželių ugdymo aprėptį (siūlant paslaugas didesniam įvairių tikslinių grupių skaičiui) ir gerinant teikiamų paslaugų kokybę, diegiant naujus ugdymo modelius (t. y. Visagino lopšelius-darželius specializuojant pagal STEAM koncepcijos kryptis bei daugiakalbę aplinką). 2023 m. buvo organizuoti viešojo pirkimo konkursai (5 vnt.) projektavimo paslaugoms įsigyti, pasirašytos sutartys ir pradėti rengti remonto darbų aprašai. Taip pat buvo nupirktos remonto darbų aprašų ekspertizės atlikimo paslaugos. Priemonės įgyvendinimo rodiklį planuojama pasiekti 2025 m. baigus projekto įgyvendinimo veiklas. </t>
  </si>
  <si>
    <t xml:space="preserve">Įgyvendinant projektą planuojama padidinti ugdymo prieinamumą atskirtį patiriantiems vaikams, pritaikant progimnazijų infrastruktūrą neįgaliesiems.
Projekto metu planuojama dvi savivaldybės progimnazijas, jų patalpas  visiškai pritaikyti laisvai ir savarankiškai į jas patekti ir po jas judėti asmenims, turintiems įvairias negalias. Visiškai pritaikyta mokykla bus laikoma tada, kai nebus jokių fizinių kliūčių (arba jos kompensuotos alternatyviomis judėjimą lengvinančiomis priemonėmis), ribojančių savarankišką patekimą į pastatą ir judėjimą pastato viduje visose erdvėse, nepriklausomai nuo asmens turimų judėjimo galimybių.
Projekto tikslinė grupė – dviejų savivaldybės progimnazijų mokiniai, jų tėvai ir pedagogai. Visagino ,,Gerosios vilties“ ir  Draugystės progimnazijos patalpų pritaikymas  neįgaliesiems. 2023 m. buvo organizuoti viešojo pirkimo konkursai projektavimo paslaugoms įsigyti, pasirašytos sutartys ir vykdomi proejktavimo darbai. Priemonės įgyvendinimo  rodiklį planuojama pasiekti 2025 m. baigus projekto įgyvendinimo veiklas. </t>
  </si>
  <si>
    <t xml:space="preserve">Įgyvendinant projektą planuojama užtikrinti saugų ir kryptingą pradinių ir pagrindinių klasių mokinių užimtumą po pamokų.
Pagrindinės projekto veiklos – dviejose Visagino savivaldybės mokyklose įrengti visos dienos mokyklai pritaikytas erdves.
Vykdymo vieta (-os) – Visagino savivaldybės teritorija: Visagino „Gerosios vilties“ progimnazijos pastatas ir Visagino Draugystės progimnazijos pastatas.
Tikslinė grupė – projekto dalyvaujančių mokymo įstaigų mokiniai ir jų tėvai.2023 m. buvo organizuoti viešojo pirkimo konkursai projektavimo paslaugoms įsigyti, pasirašytos sutartys ir vykdomi projektavimo darbai. Priemonės įgyvendinimo rodiklį planuojama pasiekti 2025 m. baigus projekto įgyvendinimo veiklas. </t>
  </si>
  <si>
    <t>Mokinių, besinaudojančių sukurta visos dienos mokyklos infrastruktūra, skaičius</t>
  </si>
  <si>
    <t xml:space="preserve">2020 m. lapkričio 20 d. Visagino savivaldybės tarybos sprendimu Nr. TS-244 „Dėl Sporto projektų finansavimo konkurso nuostatų patvirtinimo“ buvo patvirtinti Sporto projektų finansavimo konkurso nuostatai, konkurso pagrindinis tikslas skatinti Visagino savivaldybėje sporto įvairovę, gyventojų fizinį aktyvumą, prieinamumą įvairioms visuomenės grupėms, plėtoti aukšto meistriškumo sportininkų rengimo sistemą, prisidėti prie teigiamo miesto įvaizdžio kūrimo, garsinimo ir reprezentavimo. 
Priemonės poveikio rodiklis buvo pasiektas iš dalies, nes tinkamų finansuoti paraiškų buvo pateikta mažiau, nei planuota gauti. </t>
  </si>
  <si>
    <t xml:space="preserve">Įgyvendinant priemonę buvo užtikrinta Visagino viešosios bibliotekos  ir Visagino kultūros centro veikla. Poveikio rodiklis savivaldybės įstaigų kultūros ir meno darbuotojų, tobulinusių kvalifikaciją, skaičius ir kvalifikacijos tobulinimui skirtų dienų skaičius buvo pasiektas iš dalies, nes buvo įgyvendinamas pagal poreikį ir kvalifikacijos tobulinimui biudžete skirtas lėšas.  </t>
  </si>
  <si>
    <t xml:space="preserve">Įgyvendinant šią priemonę buvo vykdoma 2023-03-10 Visagino savivaldybės tarybos sprendimu Nr. TS-37 „Dėl Muziejinės veiklos tęstinumo Visagino savivaldybėje programos patvirtinimo" patvirtinta Muziejinės veiklos tęstinumo Visagino savivaldybėje programa. Priemonės įvykdymo rodiklis buvo įgyvendintas iš dalies, nes ataskaitiniu laikotarpiu muziejaus  patalpose vyko remonto darbai ir nebuvo galimybės įgyvendinti visas planuotas veiklas. </t>
  </si>
  <si>
    <t xml:space="preserve">Įgyvendinant šią priemonę Visagino kultūros centre buvo vykdoma profesionalaus meno sklaida, organizuojamos menininkų rezidencijos, organizuojamos parodos. 
</t>
  </si>
  <si>
    <t xml:space="preserve">Įvykdyta  </t>
  </si>
  <si>
    <t>Įgyvendinant šią priemonę buvo organizuojamos Profesinės šventės, minėtinos dienos (buhalterių, soc. darbuotojų, mokytojų, savivaldos dienos minėjimai). Taip pat  buvo paminėtas Jaunųjų menininkų klubo „Paletė" 20-mečio jubiliejus.</t>
  </si>
  <si>
    <t>Įgyvendinant šią priemonę buvo organizuojamas Tarptautinis kantri muzikos festivalis „Visagino Country", dalyvaujama tarptautiniuose, respublikiniuose, regioniniuose renginiuose, konkursuose, kuriuose atstovaujama savivaldybė. Taip pat vyko Visagino erdvių festivalis, Šiuolaikinio cirko festivalis „Naujojo cirko stotelė", Tarptautinis monospektaklių festivalis „Atspindys“, Senjorų šokių festivalis „Laiko karoliai".</t>
  </si>
  <si>
    <t xml:space="preserve">Įgyvendinti šią priemonę numatytos dvi kryptys skatinti kultūros ir meno įvairovę, sklaidą, prieinamumą įvairioms visuomenės grupėms Visagino savivaldybėje. Konkurso būdu lėšos buvo skirtos muzikos, teatro, šokio, vizualiojo meno, literatūros, etninės kultūros, kultūros paveldo srities ir tarpsritiniams (įvairias meno ar kultūros sritis jungiantiems projektams ir jų sklaidai). 
Finansuotų kultūros projektų biudžeto lėšomis - 7. 
Kultūros rėmimo fondo lėšomis viso finansuojamų projektų buvo - 2 (Lietuvos kultūros tarybai teikiamų projektų nuosavai lėšų daliai padengti reikalingas kofinansavimas, kurio nepadengia skirtos lėšos).
Priemonės poveikio rodiklis buvo pasiektas, tačiau LKT teikiamų projektų, buvo pateikta mažiau nei tikėtasi. </t>
  </si>
  <si>
    <t xml:space="preserve">Įgyvendinant šią priemonę buvo organizuojami Laisvės gynėjų dienos, Lietuvos valstybės atkūrimo dienos, Lietuvos nepriklausomybės atkūrimo dienos, Liepos 6-osios – Valstybės dienos paminėjimo renginiai.
</t>
  </si>
  <si>
    <t xml:space="preserve">Įgyvendinant šią priemonę buvo organizuojami Miesto eglės įžiebimo, Kalėdų šventės ir kalėdinio laikotarpio renginiai, miesto papuošimui reikalingų instaliacijų įsigijimas. Priemonės įgyvendinimui numatytos lėšos buvo naudojamos pagal poreikį. </t>
  </si>
  <si>
    <t>99,5</t>
  </si>
  <si>
    <t>Vietos veiklos grupių, kurių veikloje dalyvaujama, skaičius</t>
  </si>
  <si>
    <t>Poveikio rodiklis nebuvo pasiektas, nes ataskaitiniu laikotarpiu vyko projektinių idėjų atranka ir ir buvo atrinktos 2 daugiausiai gyventojų balsų surinkę projektinės idėjos, kurias planuojama įgyvendinti 2024 m.: 
1. „Fontanas be vandens“ – surinko 45 gyventojų balsus;
2. „Žaidimo aikštelė jaunimui su laipiojimo elementais“ – surinko 44 gyventojų balsus.</t>
  </si>
  <si>
    <t xml:space="preserve">Ši priemonė įgyvendinama vadovaujantis 2022-03-31 Visagino savivaldybės tarybos sprendimu Nr. TS-41 „Dėl Visagino savivaldybės tarybos 2019 m. birželio 27 d. sprendimo Nr. TS-159 „Dėl Visagino savivaldybės jaunimo savanoriškos tarnybos finansavimo tvarkos aprašo patvirtinimo“ pakeitimo“. Buvo planuojama finansuoti ne mažiau kaip 6 jaunimo savanoriškos tarnybos programos dalyvius per metus, preliminarus 1 savanorio išlaikymas - 69 Eur/1mėn * 6 mėn. Ataskaitiniu laikotarpiu neatsirado norinčių dalyvauti savanoriškos tarnybos programoje. Ateinančiu laikotarpiu planuojama daugiau dėmesio skirti programos viešinimui ir savanorių pritraukimui. </t>
  </si>
  <si>
    <t>Finansuotų atvirą darbą su jaunimu vykdančių organizacijų skaičius</t>
  </si>
  <si>
    <t xml:space="preserve">Šios programos tikslas padėti jaunimui įsitraukti į darbo rinką, įgyti reikiamos patirties vasaros atostogų laikotarpiu, o darbdaviams padėti išlaikyti jaunuolius darbo vietoje.  Programa patvirtinta Visagino savivaldybės tarybos 2021 m. kovo 25 d. sprendimu Nr. TS-66 „Dėl Visagino savivaldybės jaunimo vasaros užimtumo įgyvendinimo programos patvirtinimo“. </t>
  </si>
  <si>
    <t>Įgyvendinant šią priemonę buvo siekiama užtikrinti vaizdo stebėjimo kamerų tinklo efektyvų darbą, siekiant užtikrinti saugumą mieste.</t>
  </si>
  <si>
    <t>Skatinant visuomenę dalyvauti prevencinėse veiklose buvo įgyvendintos priemonės, kurių tikslas informuoti visuomenę apie nuostatas, įtvirtinančias lyčių lygybės, lygių galimybių ir nediskriminavimo nuostatas (dėl lyties, rasės, tautybės, pilietybės, kalbos, kilmės, socialinės padėties, tikėjimo, įsitikinimų ar pažiūrų, amžiaus, negalios, lytinės orientacijos, etninės priklausomybės, religijos ir kitų diskriminacinių motyvų). Taip pat buvo organizuotos prevencinės priemonės (metodinės, konsultacinės) apie prekybos žmonėmis sąvokų suvokimą, prekybos žmonėmis aukų požymius, rizikos grupes bei pagalbos galimybes prekybos žmonėmis aukoms, apsaugos nuo smurto artimoje aplinkoje ir pagalbos teikimo principus.</t>
  </si>
  <si>
    <t>Renginių, kurių pagrindinis tikslas teikti informaciją visuomenei, gilinti visuomenės suvokimą  apie  asmenų lygybę ir draudimą varžyti žmogaus teises ir teikti jam privilegijas lyties, rasės, tautybės, kalbos, kilmės, socialinės padėties, tikėjimo, įsitikinimų ar pažiūrų pagrindu,  prekybos žmonėmis srityje vartojamų sąvokų supratimą bei pagalbos teikimą prekybos žmonėmis aukoms, apsaugos nuo smurto artimoje aplinkoje, organizavimas ir įgyvendinimas</t>
  </si>
  <si>
    <t xml:space="preserve">Vadovaujantis Lietuvos Respublikos išmokų vaikams įstatymu užtikintas savivaldybės gyventojams išmokų vaikams (vienkartinė išmoka vaikui, išmoka vaikui, išmoka privalomosios pradinės karo tarnybos kario vaikui, viekartinės išmokos nėščiai moteriai, išmokos besimokančio ar studijuojančio asmens vaiko priežiūrai, globos (rūpybos), globos (rūpybos) išmokos tikslinis priedas, vienkartinė išmoka įsikurti, išmoka įvaikinus vaiką, vaiko laikinosios priežiūros išmoka) teikimas.
Priemonės rodiklis įvykdytas iš dalies, nes priemonė buvo įgyvendinama pagal poreikį. </t>
  </si>
  <si>
    <t>Vadovaujantis Lietuvos Respublikos tikslinių kompensacijų įstatymu užtikrintas savivaldybės gyventojams individualios pagalbos teikimo išlaidų kompensacijų mokėjimas.</t>
  </si>
  <si>
    <t xml:space="preserve">Nepasiturintiems savivaldybės gyventojams vadovaujantis Lietuvos Respublikos piniginės socialinės paramos nepasiturintiems gyventojams įstatymu – skiriama ir mokama socialinė pašalpa, kai suaugę asmenys yra išnaudoję visas kitų pajamų gavimo galimybes bei kompensuojamos būsto šildymo, geriamojo vandens ir karšto vandens išlaidos.
Vadovaujantis Lietuvos Respublikos paramos mirties atveju įstatymu mirus asmeniui mokama  laidojimo pašalpa bei parama palaikams parvežti, kuri yra lygi faktinėms palaikų parvežimo į Lietuvos Respubliką išlaidoms, bet neturi viršyti nustatyto dydžio. 
Trečias rodiklis įgyvendintas iš dalies, nes laidojimo pašalpos buvo skiriamos pagal poreikį. </t>
  </si>
  <si>
    <t xml:space="preserve">Socialinės pašalpos gavėjų skaičius </t>
  </si>
  <si>
    <t>Nedarbingiems neįgaliesiems, auginantiems vaikus, mokama 20 proc. BSI kompensacija už komunalines paslaugas. Priemonės įvykdymo rodiklis nepasiektas, nes priemonė buvo įgyvendinama pagal poreikį, poreikio nebuvo.</t>
  </si>
  <si>
    <t xml:space="preserve">Visagino savivaldybės tarybos sprendimų, susijusių su mokesčių už teikiamas paslaugas kompensavimu, įgyvendinimas (100 proc. mokesčio už vieną neformaliojo švietimo programą jų pasirinktoje vienoje Visagino savivaldybės biudžetinėje neformaliojo švietimo įstaigoje kompensacija suaugusiems neįgaliems asmenims, kurių pajamos bendrai gyvenantiems asmenims arba vienam gyvenančiam asmeniui per mėnesį yra mažesnės negu 3 valstybės remiamų pajamų dydžiai; mokesčio už baseinų suteiktas paslaugas kompensavimas, NVŠ, mokesčio už ikimokyklinį ugdymą lengvatos ir pan.) </t>
  </si>
  <si>
    <t>Vykdant valstybinę (valstybės perduotą savivaldybėms) funkciją, susijusią su socialinės globos teikimo asmenims su sunkia negalia organizavimu, kompensuojamos socialinės globos asmenims su sunkia negalia išlaidos.</t>
  </si>
  <si>
    <t xml:space="preserve">Ne savivaldybės pavaldumo socialinės globos įstaigoms sudarant su jomis finansavimo sutartis apmokamos socialinės globos asmenims be sunkios negalios išlaidos. Priemonė įvykdyta iš dalies, nes buvo įgyvendinama pagal poreikį ir skirtą finansavimą. </t>
  </si>
  <si>
    <t xml:space="preserve">Ataskaitiniu laikotarpiu  Visagino ežero pakrantėje Parko g. 16B, Visagine,  įrengtas 2 metrų pločio kietmedžio lentų takas nuo esamo pėsčiųjų tako link Visagino ežero pakrantės. Šalimais tako iš abiejų pusių įrengtos dvi poilsio aikštelės, pritaikytos žmonėms su negalia, įrengta persirengimo kabina su visais joje būtinais įrenginiais ir dušu. Ežero pakrantėje įrengtas turėklas nusileidimui į vandenį. Priemonė neįgyvendinta, nes planuojama, kad įgyvendinant šią priemonę judumo negalią turintiems žmonėms 2024 m. bus pritaikytas Visagino ežero paplūdimys, įrengiant rampą, leidžiančią vežimėliu patogiai nusileisti į paplūdimio teritoriją. </t>
  </si>
  <si>
    <t xml:space="preserve">Savivaldybės neįgaliųjų ir pagyvenusių žmonių dalyvavimo visuomeniniame gyvenime užtikrinimas, renginių, skirtų pagerbti pagyvenusį ir neįgalų žmogų, organizavimas. </t>
  </si>
  <si>
    <t>2023 metais buvo atlikti Kosmoso g. 30, Visagine, 10 blokų (2 kambarių) praprastojo remonto darbai ir kitų bendrabučio patalpų remonto darbai.</t>
  </si>
  <si>
    <t>Suremontuoto gyvenamojo būsto, priskiriamo įvairioms socialinėms  reikmėms, skaičius</t>
  </si>
  <si>
    <t>Vadovaujantis Lietuvos Respublikos Vyriausybės 2022 m. kovo 16 d. nutarimu Nr. 224 „Dėl laikinosios apsaugos Lietuvos Respublikoje užsieniečiams suteikimo" ir  Kompensacijų už būsto suteikimą užsieniečiams, pasitraukusiems iš Ukrainos dėl Rusijos Federacijos karinės agresijos, skyrimo sąlygų ir tvarkos aprašu, patvirtintu socialinės apsaugos ir darbo ministro 2022 m. balandžio 6 d. įsakymu Nr. A1-254, teikiamos kompensacijos už užsieniečių apgyvendinimą.</t>
  </si>
  <si>
    <t>Fizinių ar juridinių asmenų, perdavusių savo būstą ar patalpas neatlygintinai naudotis panaudos pagrindais dėl karinių veiksmų iš Ukrainos pasitraukusiems gyventojams, skaičius</t>
  </si>
  <si>
    <t>Ši priemonė įgyvendinama vadovaujantis Lietuvos Respublikos socialinės integracijos įstatymo 25 (1) straipsnio 4 punktu, kuris numato, kad „už asmeninės pagalbos teikimo organizavimą ir jos kokybės užtikrinimą atsako savivaldybių institucijos“. Įgyvendinant šią priemonę, asmenims, kuriems Lietuvos Respublikos neįgaliųjų socialinės integracijos įstatymo nustatyta tvarka nustatytas neįgalumo lygis arba 55 procentų ir mažesnis darbingumo lygis, arba specialiųjų poreikių lygis, teisės aktų nustatyta tvarka nustačius asmeninės pagalbos poreikį, teikiama individuali pagalba namuose ir viešojoje aplinkoje (palydint ir komunikuojant), kuri padės jam gyventi savarankiškai ir veikti visose gyvenimo srityse.</t>
  </si>
  <si>
    <t>Nuo 2023 m. sausio 1 d. socialinės reabilitacijos neįgaliesiems bendruomenėje paslaugas teikia tik akredituotos socialinių paslaugų įstaigos. Visagino savivaldybėje akredituotas socialinės reabilitacijos neįgaliesiems bendruomenėje paslaugas gali teikti 3 nevyriausybinės organizacijos. Priemonė įvykdyta iš dalies, nes 2023 metais šias paslaugas teikė viena organizacija, su  kuria  sudaryta socialinės reabilitacijos neįgaliesiems bendruomenėje paslaugų teikimo ir finansavimo sutartis.</t>
  </si>
  <si>
    <t>Vykdant Visagino savivaldybės socialinių paslaugų plėtros pasitelkiant nevyriausybines organizacijas programą finansuotas 1 projektas, skirtas asmenų su negalia transporto paslaugų teikimo užtikrinimui.</t>
  </si>
  <si>
    <t xml:space="preserve">Vykdant valstybines (valstybės perduotas savivaldybėms) funkcijas sveikos gyvensenos įgūdžių formavimo srityje organizuotos sveikos mitybos ir maisto švaistymo mažinimo priemonės mokyklose (979 mokiniai), traumų ir sužalojimų prevencijos priemonės mokyklose (821 mokinys), burnos higienos užsiėmimai mokyklose (776 mokiniai), gyventojų sveikos mitybos įgūdžių formavimo veiklos (101 asmuo, 30 užsiėmimų), traumų ir sužalojimų prevencijos skatinimas bendruomenėje (168 asmenys, 12 užsiėmimų), gyventojų (iki 64 m.) fizinio aktyvumo skatinimas (748 asmenys, 46 užsiėmimai) ir pan. 
Parengta Visagino savivaldybės 2022 m. visuomenės sveikatos stebėsenos ataskaita. Atsižvelgiant į tai, kad priemonės  rodiklio įvykdymas pasiektas iš dalies, ateinančiu laikotarpiu daugiau dėmesio planuojama skirti suaugusiųjų švietimui sveikatos, fizinio aktyvumo klausimais, gerinti sporto infrastruktūrą mieste bei siekti, kad gyventojai kuo daugiau užsiimtų fizinio aktyvumo veiklomis. </t>
  </si>
  <si>
    <t xml:space="preserve">Įgyvendinant priemonę siekiama stabdyti ir mažinti neteisėtą narkotikų, alkoholio ir tabako vartojimą, jų paklausą ugdant neigiamą požiūrį į jį tarp vaikų ir jaunimo, šeimose, bendruomenėse ir visuomenėje, diegiant žmogaus gyvenimo reikšmės ir vertybinių nuostatų bei sveikos gyvensenos sampratą. Siekiama stiprinti savivaldybės institucijų ir įstaigų, verslo subjektų, visuomenės bendradarbiavimą ir koordinavimą narkotikų, alkoholio ir tabako vartojimo prevencijos ir kontrolės srityje. </t>
  </si>
  <si>
    <t xml:space="preserve">Visagino savivaldybės tarybos 2016-06-30 sprendimu Nr. TS-131 sudaryta Visagino savivaldybės neveiksnių asmenų būklės peržiūrėjimo komisija, kuri nagrinėja, inicijuoja ir peržiūri asmens bylas. Priemonės įgyvendinimo rodiklis pasiektas iš dalies, nes jį įgyvendinama pagal poreikį. </t>
  </si>
  <si>
    <t xml:space="preserve">Visuomenės psichikos sveikatos gerinimo srityje  organizuotos ankstyvosios intervencijos, skirtos nereguliariai vartojantiems psichoaktyviąsiais medžiagas ar eksperimentuojantiems jomis jaunuoliams, veiklos (8 asmenys), priklausomybių konsultantų paslaugų tekimas (74 asmenys, 338 paslaugos), bazinių savižudybių prevencijos mokymų organizavimas (31 asmuo), psichologinės gerovės ir psichikos sveikatos siprinimo paslaugos (408 konsultacijos), darbuotojų kompetencijų šioje srityje didinimas (13 darbuotojų),  mokyklų darbuotojų kompetencijos didinimas (12 darbuotojų), išplėstinės metimo rūkyti pagalbos paslaugos (38 asmenys). Atsižvelgiant į tai, kad poveikio rodiklio įvykdymas pasiektas iš dalies, ateinančiu laikotarpiu daugiau dėmesio planuojama skirti suaugusiųjų švietimui sveikatos, fizinio aktyvumo klausimais, gerinti sporto infrastruktūrą mieste bei siekti, kad gyventojai kuo daugiau užsiimtų fizinio aktyvumo veiklomis. </t>
  </si>
  <si>
    <t>Vykdant Trūkstamų specialybių gydytojų motyvavimo dirbti Visagino savivaldybės viešosiose asmens sveikatos priežiūros įstaigose programą, patvirtintą Visagino savivaldybės tarybos 2021-10-14 sprendimu Nr. TS-205, 2023 metais gauti 2 nauji prašymai skirti paramą, abu patenkinti. Parama 2023 metais skirta: 1 šeimos gydytojui, dirbančiam 1,0 etatu, 1 gydytojui psichiatrui dirbančiam 0,5 etato, IV kurso studentei, gydytojui rezidentui, studijuojančiam nemokamose rezidentūros studijose.</t>
  </si>
  <si>
    <t xml:space="preserve">Siekiant išvengti neigiamo poveikio aplinkai organizuotas atliekų, kai nežinomas atliekų tvarkytojas arba kai atliekas būtina sutvarkyti nedelsiant, tvarkymas, surinkimas ir šalinimas. Ataskaitiniu laikotarpiu atliekų tvarkytojui ar naudotojui surinkta ir perduota sutvarkyti 63,16 t bešeimininkių atliekų, iš kurių 54,92 t mišrios statybinės  ir 8,24 t netinkamos naudoti padangos. </t>
  </si>
  <si>
    <t>Ataskaitiniu laikotarpiu buvo administruojama vietinė rinkliava už komunalinių atliekų surinkimą (iš viso 15393 mokėtojų, iš jų fizinių asmenų 15001, juridinių asmenų – 392). Mokėtojams buvo suformuota ir išsiųsta  22210 mokėjimo pranešimų (fiziniams asmenims – 21750, juridiniams asmenims – 460), taip pat suformuoti ir išsiųsti 1211 raginimų dėl skolos sumokėjimo (fiziniams asmenims – 1145, juridiniams – 66). Iš viso 2023 m. vietinės rinkliavos  priskaičiuota 1 238 537,90 Eur, surinkta – 1 269 726,38 Eur lėšų suma (102,52 proc. nuo priskaičiuotos rinkliavos sumos). 
Mokėtojų skola sudarė 284 100,75 Eur, iš kurių juridinių asmenų skola sudarė 66 814,11 Eur, fizinių – 217 286,64 Eur. 
Panaudota lėšų suma komunalinių atliekų tvarkymui sudarė 1 280 814,27 Eur. Įvertinus 2022 metų sąnaudas ir prognozuojant 2023 metų sąnaudas, buvo atliktas  vietinės rinkliavos dydžių perskaičiavimas, parengtas naujas nuostatų priedas, kuris buvo 2023 m. birželio 15 d. patvirtintas tarybos sprendimu ir pradėtas taikyti nuo 2023 m. liepos 1 d., todėl skirtumas tarp panaudotų ir surinktų lėšų sudarė 11 087,89 Eur. t. y. 0,8 proc.
2023 m. į Utenos regioninį nepavojingų atliekų sąvartyną bei mišrių komunalinių atliekų mechaninio bei biologinio apdorojimo įrenginius buvo pristatyta 4273,50 t atliekų. Lyginant su 2022 m. mišrių komunalinių atliekų kiekis padidėjo 0,55 proc.</t>
  </si>
  <si>
    <t xml:space="preserve">Ataskaitiniu laikotarpiu  buvo vykdoma nuolatinė miesto priežiūra ir tvarkymas. Buvo atliktas gėlynų apipavidalinimas, pasodinta daug daugiamečių gėlių. Vykdyta nuolatinė Visagino miesto teritorijoje esančių želdynų ir želdinių priežiūra. Po audros susidarius pavojingai situacijai mieste buvo pašalinti pavojingai pakibę medžiai, kurie kėlė pavojų žmonėms ir pastatams. Atliktas sausų medžių ir krūmų kirtimas, medžių ir krūmų sodinimas.  
Per metus buvo organizuota miesto gatvių ir vietinių kelių priežiūra. Žiemos periodu laiku atliktas kelių sniego valymas ir dangų barstymas smėlio ir druskos mišiniu. Nuo 2023 m. gegužės mėn. iki 2023 m. spalio mėn. kiekvieną dieną buvo vykdomi šienavimo darbai – miesto vejos atrodė tvarkingai ir puošė miestą savo žaluma. Buvo vykdoma Visagino savivaldybės teritorijoje esančių vietinių kelių už miesto ribų priežiūra. Buvo organizuotas atliekų, kurių turėtojo nustatyti neįmanoma, išvežimas. Taip pat buvo įgyvendinami Saugaus eismo komisijos sprendimai. 
Nuo pavasario iki rudens vykdoma nuolatinė miesto paplūdimio teritorijos priežiūra. Miesto gyventojams ir svečiams suteikta puiki infrastruktūra: veikė geriamojo vandens fontanas, tualetas, vandens kalnelis. Visagino ežere maudymosi sezono metu organizuotas gelbėjimo posto darbas.
	</t>
  </si>
  <si>
    <t xml:space="preserve">UAB „Utenos regiono atliekų tvarkymo centras“ pagal 2022-02-25 partnerystės sutartį Nr. 5-83 tarp URATC ir Utenos regiono savivaldybių organizavo regiono savivaldybėms atliekų prevencijos ir tvarkymo 2021-2027 metų planų parengimą. UAB „Ekonominės konsultacijos ir tyrimai“ ir UAB „Jostra“ parengė Visagino savivaldybės atliekų prevencijos ir tvarkymo 2021-2027 metų plano projektą. Visagino savivaldybės taryba 2023 m. rugpjūčio 25 d. sprendimu Nr. TS-170 „Dėl Visagino savivaldybės atliekų prevencijos ir tvarkymo 2021-2027 metų plano patvirtinimo" patvirtino  Visagino savivaldybės atliekų prevencijos ir tvarkymo 2021-2027 metų planą.  Plano rengimas buvo finansuojamas Atliekų prevencijos ir tvarkymo programos priemonės „Subsidijos ir dotacijos regioninių ir savivaldybių atliekų prevencijos ir tvarkymo planų projektų rengimui“  lėšomis. Priemonės įvykdymo rodiklis pasiektas iš dalies, nes komunalinių atliekų plėtros techninio projekto parengimas perkeltas į kitą priemonę. </t>
  </si>
  <si>
    <t xml:space="preserve">Ataskaitiniu laikotarpiu dėl saugotinų medžių ir krūmų kirtimo, persodinimo ar kitokio pašalinimo, intensyvaus genėjimo Visagino savivaldybės teritorijoje išduota 30 leidimų, iš jų 29 leidimai kirtimo ir 1 intensyvaus genėjimo darbams. Iš viso pagal išduotus leidimus leista nukirsti 103 saugotinus medžius ir 1 intensyviai genėti. Asmenys už leistus nukirsti 37 vnt. saugotinų medžių atlygino  leidžiamų kirsti medžių atkuriamąją vertę. Į Visagino savivaldybės aplinkos apsaugos rėmimo specialiąją programą želdinių atkuriamosios vertės kompensacijos gauta 8949 Eur. 
2023 metais įsigyta 77 vnt. medžių ir krūmų sodinukų.                                                                 
Įgyvendinant projektus, Visagino autobusų stoties su turizmo informacijos centru teritorijoje Parko g. 12A pasodinta 16 medžių, Visagino Sedulinos al. atkarpoje nuo Parko g. iki Visagino g. pasodinta 1753 medžiai ir dekoratyviniai krūmai.
Priemonės įvykdymo rodiklis pasiektas iš dalies, nes leidimai buvo išduodami pagal poreikį.       </t>
  </si>
  <si>
    <t>Įgyvendinant šią priemonę ataskaitiniu laikotarpiu buvo parengtas ir patvirtintas 2023-03-10 Visagino savivaldybės tarybos sprendimu Nr. TS-55 Visagino savivaldybės atsinaujinančių išteklių energijos naudojimo plėtros veiksmų planas iki 2030 m. 
Taip pat VšĮ Visagino ekonomikos plėtros agentūra ir Visagino savivaldybės administracija vykdė projektus, kurių metu įsigijo saulės elektrinės dalį iš nutolusio saulės jėgainių parko. Visagino savivaldybės administracija įsigijo 120 kW, VšĮ Visagino ekonomikos plėtros agentūra įsigijo 83 kW - ataskaitiniu laikotarpiu darbai buvo baigti. Priemonės įvykdymo rodiklis nepasiektas, nes ataskaitiniu laikotarpiu Visagino savivaldybės administracijos Rangovas vykdė saulės elektrinės atidavimo naudoti darbus, kurių terminai persikėlė į 2024 m.</t>
  </si>
  <si>
    <t xml:space="preserve">Ataskaitiniu laikotarpiu varninių šeimos paukščių populiacija buvo reguliuojama 2 kartus: Aplinkos apsaugos departamentas prie Aplinkos ministerijos išdavė leidimą reguliuoti minėtų paukščių populiaciją  2023-01-30 - 2023-02-28  ir 2023-08-29 - 2023-12- 31. Iš viso daugiabučių namų kvartaluose prie Statybininkų g. 2, 4, Sedulinos al. 35, 44, 51, Taikos pr. 42, 32, 20, 20 A, Vilties g. 7, 9, 11, 15, 16, Tarybų g. 9 bei kitose vietose Visagine nuimti 89 varninių paukščių lizdai. </t>
  </si>
  <si>
    <t>Įgyvendinant šią priemonę bus užtikrinamas paviršinių nuotekų priėmimo į paviršinių nuotekų tinklus sutarčių su savivaldybės biudžetinėmis įstaigomis įgyvendinimas, t. y. abonentinio mokesčio mokėjimas UAB „Visagino būstas“. Taip pat analizuotos ir kontroliuotos  UAB „Visagino būstas" pateiktos sąskaitos iki apmokėjimo.</t>
  </si>
  <si>
    <t>Per 2023 m. užregistruota 202 gyventojų ir dviejų juridinių asmenų, kaip triukšmo šaltinių valdytojų, pranešimai apie planuojamus statybos, remonto, montavimo darbus gyvenamosiose patalpose. Pranešimuose nurodoma, kad planuojamas triukšmo lygis pagal normas, trukmė per parą nustatytomis valandomis, triukšmo mažinimo priemonės: langų ir durų sandarinimas, kaimynų įspėjimas, pertraukos tarp darbų.
Priemonės įvykdymo rodiklis įvykdytas iš dalies, skundų dėl gyventojų keliamo triukšmo, kurį reikėtų išmatuoti, nebuvo gauta.</t>
  </si>
  <si>
    <t>Ataskaitiniu laikotarpiu buvo paskelbti du konkursai dėl Visagino savivaldybės teritorijoje bepriežiūrių ir bešeimininkių gyvūnų laikinosios globos ir kitų gyvūnų priežiūros paslaugų pirkimo. 2023 m. balandžio 6 d.  ir  2023 m. rugsėjo 5 d. buvo sudarytos sutartys su Regionine asociacija „Gyvūnų šansas“ dėl Visagino savivaldybės teritorijoje bepriežiūrių ir bešeimininkių gyvūnų laikinosios globos ir kitų gyvūnų priežiūros paslaugų teikimo. Regioninė asociacija „Gyvūnų šansas“ per 2023 m. sugavo ir karantinavo 114 gyvūnų, iš viso 139 buvo kastruoti/sterilizuoti, 104 pažymėti mikroschema, 96 paleisti atgal į buvusią gyvenamąją vietą ir 61 perduotas naujiems gyvūnų globėjams.</t>
  </si>
  <si>
    <t xml:space="preserve">Ataskaitiniu laikotarpiu buvo organizuotos konsultacijos daugiabučių namų bendrijų pirmininkams, kuriose dalyvavo 17  bendrijų pirmininkų (iš viso Visagine yra  44 bendrijos). Taip pat buvo parengti investiciniai planai ir energetinio naudingumo sertifikatai daugiabučiams namams, esantiems adresu Taikos pr. 26 ir Draugystės g. 3, Visagine. Vadovaujantis  rengimo išlaidų kompensavimo tvarka, patvirtinta Visagino savivaldybės tarybos 2021 m. gegužės 27 d.  sprendimu Nr. TS-125, už jų parengimą UAB "Visagino būstas" buvo kompensuotos išlaidos, tačiau savininkai priėmė sprendimą nedalyvauti tolimesniame renovacijos procese.
Taip pat,  patvirtintas investicinis planas namui, esančiam  Kosmoso g. 30, bei priimtas vienas sprendimas rengti investicinį projektą namui, esančiam  Sedulinos al. 44. Atnaujintų namų skaičius  nuo bendro nerenovuotų daugiabučių namų skaičiaus sudaro 1,6 proc. Ateinančiame laikotarpyje bus toliau dirbama su gyventojais, siekiant juos įtraukti į renovacijos procesus. 
</t>
  </si>
  <si>
    <t xml:space="preserve">Ataskaitiniu laikotarpiu priemonė nebuvo įgyvendinama, nes nebuvo poreikio.  Topografinis planas buvo atnaujintas įgyvendinant projektą  „Visagino gatvių apšvietimo sistemos modernizavimas". 
</t>
  </si>
  <si>
    <t>Projekto „Bendrabučio tipo pastato, esančio Kosmoso g. 28 Visagine, patalpų pritaikymas socialinio būsto įrengimui-II etapas " įgyvendinimas</t>
  </si>
  <si>
    <t xml:space="preserve">1 lentelė. 2023-2025 metų asignavimų ir kitų lėšų pasiskirstymas pagal programas (tūkst. eurų) </t>
  </si>
  <si>
    <t>2 lentelė.  Valdymo tobulinimo programos  (01) uždaviniai, priemonės, asignavimai ir kitos lėšos (tūkst.eurų) ir jų stebėsenos rodikliai</t>
  </si>
  <si>
    <t>3 lentelė.Švietimo paslaugų plėtros programos  (02) uždaviniai, priemonės, asignavimai ir kitos lėšos (tūkst.eurų) ir jų stebėsenos rodikliai</t>
  </si>
  <si>
    <t>4 lentelė. Fizinio aktyvumo ir sporto plėtros programos  (03) uždaviniai, priemonės, asignavimai ir kitos lėšos (tūkst.eurų) ir jų stebėsenos rodikliai</t>
  </si>
  <si>
    <t>5 lentelė. Gyventojų kultūrinio aktyvumo skatinimo ir identiteto stiprinimo programos (04) uždaviniai, priemonės, asignavimai ir kitos lėšos (tūkst.eurų) ir jų stebėsenos rodikliai</t>
  </si>
  <si>
    <t>6 lentelė. Visagino savivaldybės bendruomeniškumo skatinimo programos (05) uždaviniai, priemonės, asignavimai ir kitos lėšos (tūkst.eurų) ir jų stebėsenos rodikliai</t>
  </si>
  <si>
    <t>7 lentelė. Socialinės paramos programos  (06) uždaviniai, priemonės, asignavimai ir kitos lėšos (tūkst.eurų) ir jų stebėsenos rodikliai</t>
  </si>
  <si>
    <t>8 lentelė. Visagino savivaldybės sveikatos apsaugos paslaugų kokybės gerinimo programos (07) uždaviniai, priemonės, asignavimai ir kitos lėšos (tūkst.eurų) ir jų stebėsenos rodikliai</t>
  </si>
  <si>
    <t>9 lentelė. Aplinkos apsaugos programos (08) uždaviniai, priemonės, asignavimai ir kitos lėšos (tūkst.eurų) ir jų stebėsenos rodikliai</t>
  </si>
  <si>
    <t>10 lentelė. Ekonominės plėtros programos (09) uždaviniai, priemonės, asignavimai ir kitos lėšos (tūkst.eurų) ir jų stebėsenos rodikliai</t>
  </si>
  <si>
    <t>11 lentelė. Viešosios infrastruktūros programos  (10) uždaviniai, priemonės, asignavimai ir kitos lėšos (tūkst.eurų) ir jų stebėsenos rodikliai</t>
  </si>
  <si>
    <t>Pasirašyta finansavimo sutartis dėl Psichiatrijos dienos stacionaro paslaugų plėtros Visagino savivaldybėje</t>
  </si>
  <si>
    <t xml:space="preserve">92 proc. </t>
  </si>
  <si>
    <t>87 proc.</t>
  </si>
  <si>
    <t xml:space="preserve">60 proc. </t>
  </si>
  <si>
    <t>0 
(rodiklis nepasiektas, nes 2023 m. įsigyta elektros kaina ženkliai išaugino sąnaudas už elektrą, sąnaudos už kitas komunalines paslaugas – sumažėjo. )</t>
  </si>
  <si>
    <t>12 proc.
(rodiklis nepasiektas, nes miesto bendruomenėje dar nesusiformavęs įprotis rūpintis savo sveikata profilaktiškai, įstaiga skatindama skiepijimąsi ėmėsi rodiklio didinimo priemonių: viešino informaciją skelbimų lentose, interneto svetainėje, socialiniuose tinkluose, gydytojai ragino pacientus skiepytis asmeniškai)</t>
  </si>
  <si>
    <t xml:space="preserve">66 proc. </t>
  </si>
  <si>
    <t>0,902</t>
  </si>
  <si>
    <t>PATVIRTINTA
Visagino savivaldybės tarybos                                 2024 m. ______ d. gegužės ____sprendimu  Nr.TS-</t>
  </si>
  <si>
    <t>Įgyvendinant šią priemonę gali būti kompensuojama būsto nuomos ar išperkamosios būsto nuomos mokesčių dalis. Ataskaitiniu laikotarpiu kompensacijas gavo 4 šeimos.</t>
  </si>
  <si>
    <t xml:space="preserve">Įgyvendinant priemonę užtikrinamas socialinėje srityje dirbančių darbuotojų draudimas. Iš viso per ataskaitinį laikotarpį buvo apdrausti 132 darbuotojai. </t>
  </si>
  <si>
    <r>
      <t xml:space="preserve">Įgyvendinamų pažangos projektų </t>
    </r>
    <r>
      <rPr>
        <b/>
        <i/>
        <sz val="9"/>
        <color indexed="23"/>
        <rFont val="Ariel"/>
        <charset val="186"/>
      </rPr>
      <t>(įrašomas pažangos projekto kodas ir pavadinimas)</t>
    </r>
    <r>
      <rPr>
        <b/>
        <i/>
        <sz val="9"/>
        <color indexed="8"/>
        <rFont val="Ariel"/>
        <charset val="186"/>
      </rPr>
      <t xml:space="preserve"> rodikliai</t>
    </r>
  </si>
  <si>
    <r>
      <t xml:space="preserve">Įgyvendinamų pažangos projektų </t>
    </r>
    <r>
      <rPr>
        <i/>
        <sz val="9"/>
        <color indexed="23"/>
        <rFont val="Ariel"/>
        <charset val="186"/>
      </rPr>
      <t>(įrašomas pažangos projekto kodas ir pavadinimas)</t>
    </r>
    <r>
      <rPr>
        <sz val="9"/>
        <rFont val="Ariel"/>
        <charset val="186"/>
      </rPr>
      <t xml:space="preserve"> rodikliai</t>
    </r>
  </si>
  <si>
    <r>
      <t>Įgyvendinamų pažangos projektų</t>
    </r>
    <r>
      <rPr>
        <b/>
        <i/>
        <sz val="9"/>
        <rFont val="Arial"/>
        <family val="2"/>
      </rPr>
      <t xml:space="preserve"> </t>
    </r>
    <r>
      <rPr>
        <i/>
        <sz val="9"/>
        <rFont val="Arial"/>
        <family val="2"/>
      </rPr>
      <t xml:space="preserve">(įrašomas pažangos projekto kodas ir pavadinimas) </t>
    </r>
    <r>
      <rPr>
        <sz val="9"/>
        <rFont val="Arial"/>
        <family val="2"/>
      </rPr>
      <t>rodikliai</t>
    </r>
  </si>
  <si>
    <r>
      <t>Įgyvendinamų pažangos projektų</t>
    </r>
    <r>
      <rPr>
        <b/>
        <i/>
        <sz val="9"/>
        <rFont val="Arial"/>
        <family val="2"/>
      </rPr>
      <t xml:space="preserve"> </t>
    </r>
  </si>
  <si>
    <r>
      <t>Įgyvendinamų pažangos projektų</t>
    </r>
    <r>
      <rPr>
        <b/>
        <i/>
        <sz val="9"/>
        <rFont val="Arial"/>
        <family val="2"/>
      </rPr>
      <t xml:space="preserve"> </t>
    </r>
    <r>
      <rPr>
        <i/>
        <sz val="9"/>
        <color indexed="23"/>
        <rFont val="Arial"/>
        <family val="2"/>
      </rPr>
      <t xml:space="preserve">(įrašomas pažangos projekto kodas ir pavadinimas) </t>
    </r>
    <r>
      <rPr>
        <sz val="9"/>
        <rFont val="Arial"/>
        <family val="2"/>
      </rPr>
      <t>rodikliai</t>
    </r>
  </si>
  <si>
    <r>
      <t>Įgyvendinamų pažangos projektų</t>
    </r>
    <r>
      <rPr>
        <b/>
        <i/>
        <sz val="9"/>
        <color indexed="63"/>
        <rFont val="Arial"/>
        <family val="2"/>
      </rPr>
      <t> </t>
    </r>
    <r>
      <rPr>
        <i/>
        <sz val="9"/>
        <color indexed="23"/>
        <rFont val="Arial"/>
        <family val="2"/>
      </rPr>
      <t>(įrašomas pažangos projekto kodas ir pavadinimas) </t>
    </r>
    <r>
      <rPr>
        <sz val="9"/>
        <color indexed="63"/>
        <rFont val="Arial"/>
        <family val="2"/>
      </rPr>
      <t>rodikliai</t>
    </r>
  </si>
  <si>
    <r>
      <t xml:space="preserve">Įgyvendinamų pažangos projektų </t>
    </r>
    <r>
      <rPr>
        <sz val="9"/>
        <color indexed="23"/>
        <rFont val="Arial"/>
        <family val="2"/>
      </rPr>
      <t xml:space="preserve">(įrašomas pažangos projekto kodas ir pavadinimas) </t>
    </r>
    <r>
      <rPr>
        <sz val="9"/>
        <rFont val="Arial"/>
        <family val="2"/>
      </rPr>
      <t>rodikliai</t>
    </r>
  </si>
  <si>
    <r>
      <t xml:space="preserve">ASP duomenų perkėlimas </t>
    </r>
    <r>
      <rPr>
        <sz val="9"/>
        <rFont val="Arial"/>
        <family val="2"/>
      </rPr>
      <t>„</t>
    </r>
    <r>
      <rPr>
        <sz val="9"/>
        <color indexed="8"/>
        <rFont val="Arial"/>
        <family val="2"/>
      </rPr>
      <t xml:space="preserve">į debesis“, IT veikimui reikiamų resursų nuoma   </t>
    </r>
  </si>
  <si>
    <t xml:space="preserve"> 2023 metais VšĮ Visagino ligoninėje eilės buvo mažesnės nei SAM patvirtintos siektinos – iki 60 kalendorinių dienų. (Rodiklis įgyvendintas). Stacionarinėms chirurgijos paslaugoms eilių nėra, paslaugos prieinamos kreipimosi metu. Dienos chirurgijos paslaugoms eilės per 2023 m. buvo nuo 0 iki 10 kalendorinių dienų. 
</t>
  </si>
  <si>
    <r>
      <t xml:space="preserve">Gerinti pacientų </t>
    </r>
    <r>
      <rPr>
        <sz val="9"/>
        <color indexed="8"/>
        <rFont val="Arial"/>
        <family val="2"/>
      </rPr>
      <t>bendrą</t>
    </r>
    <r>
      <rPr>
        <sz val="9"/>
        <rFont val="Arial"/>
        <family val="2"/>
      </rPr>
      <t xml:space="preserve"> pasitenkinimą VšĮ Visagino ligoninėje </t>
    </r>
    <r>
      <rPr>
        <sz val="9"/>
        <color indexed="8"/>
        <rFont val="Arial"/>
        <family val="2"/>
      </rPr>
      <t xml:space="preserve"> teikiamomis asmens sveikatos priežiūros paslaugomis </t>
    </r>
  </si>
  <si>
    <t>2023 m. balandžio 29 d. gyventojai buvo kviečiami dalyvauti aplinkos tvarkymo akcijoje „Darom 2023“, naudojantis „Mes darom“ žemėlapiu. Akcijos dalyviai rinko, rūšiavo ir savarankiškai pristatė surinktas atliekas į didelių gabaritų atliekų surinkimo aikštelę, o mišrias komunalines atliekas ir antrines žaliavas išmetė į šioms atliekoms skirtus kolektyvinio naudojimo konteinerius. Bendruomenė buvo raginama internetinėje svetainėje www.mesdarom.lt  interaktyvioje platformoje „Darom kartu“ registruoti savo iniciatyvas, prisidedančias prie aplinkos puoselėjimo.                                                                                                                                                                                                                                                                                                                                                                                                                                                                                                                                                                                                             Visagino savivaldybės aplinkosauginio švietimo projektų konkurse finansavimas skirtas 5 projektams:  
1) Visagino socialinės globos namų projektui „Rūšiuok ir kurk“ 
2) Visagino vaikų lopšelio-darželio „Auksinis raktelis“ projektui „Saugoti aplinką – pažinti, mylėti“, 
3) Visagino „Gerosios vilties“ progimnazijos projektui „Mokausi pažinti, stebėti ir saugoti“, 
4) Visagino „Žiburio“ pagrindinės mokyklos projektui „Tvari aplinka – saugi vaikystė“, 
5) Visagino personalinių kompiuterių vartotojų bendrijos projektui „Aplinka mieste“.                                                                                                                                                                                 Koordinuotas Visagino „Verdenės“ gimnazijos dalyvavimas  tarptautinėje Gamtosauginių mokyklų programoje. 2023 m. Gamtosauginių mokyklų apdovanojimais  už dalyvavimą Gamtosauginių mokyklų programoje  apdovanota ir Visagino „Verdenės“ gimnazija. Informacija apie Gamtosauginių mokyklų programą ir jos renginius skelbiama interneto svetainėje www.gamtosauginesmokyklos.lt.</t>
  </si>
  <si>
    <t xml:space="preserve">Priemonės įgyvendinimo rodiklis nepasiektas, nes  ataskaitiniu laikotarpiu buvo vykdomos išstojimo iš VšĮ „Euroregiono Ežerų kraštas direktorato biuras“ procedūros. </t>
  </si>
  <si>
    <t xml:space="preserve">889* duomenys už 2022 m. </t>
  </si>
  <si>
    <t xml:space="preserve">739* duomenys už 2022 m. </t>
  </si>
  <si>
    <t xml:space="preserve">Naujų veiklos tobulinimo sutarčių sudarymas </t>
  </si>
  <si>
    <t>Specialiųjų autotransporto priemonių  bei turimos įrangos atnaujinimas</t>
  </si>
  <si>
    <t>UAB „Visagino mechanizacija“</t>
  </si>
  <si>
    <t>2023 m. lapkričio 30 d. Visagino savivaldybės taryba sprendimu Nr. TS-226 priėmė sprendimą reorganizuoti uždarąją akcinę bendrovę „Visagino mechanizacija“</t>
  </si>
  <si>
    <t>Įvykdyta 
/Neįvykdyta/
Įvykdyta iš dalies/Vykdoma</t>
  </si>
  <si>
    <t xml:space="preserve">Gerbiami Visagino savivaldybės gyventojai!
Prieš Jums susipažįstant su metine 2023 m. veiklos ataskaita, noriu kiekvienam išreikšti asmeninę padėką už Jūsų aktyvų dalyvavimą savivaldos gyvenime ir palaikymą, išreikštą 2023 metų savivaldybių tarybų ir merų rinkimuose. Be Jūsų šis kelias į progresyvią ir atvirą Visagino ateitį nebūtų toks užtikrintas ir sėkmingas. Drauge sukūrėme daug pozityvių pokyčių, sutelkdami dėmesį ne tik į infrastruktūros tobulinimą, bet ir į ekonomikos augimą, inovacijų taikymą, švietimą, kultūrą, bendruomenės stiprinimą ir ilgalaikę savivaldybės viziją.
Skaidrumas, atvirumas, kalbėjimasis – tai vertybės, kuriomis vadovaujuosi tarnaudamas Visaginui. Tikiu, kad bendros mūsų pastangos ir galvojimas apie ateities kartas padės įveikti visus kylančius iššūkius ir užtikrins mums inovatyvaus, žalio, jauno, tvarkingo ir atviro miesto vardą. 
Šiais metais pelnėme ne vieną valstybinį įvertinimą. Daug apdovanojimų atvežėte į Visaginą ir Jūs asmeniškai. Tai ženklas, kad esame stiprūs, pastebimi ir unikalūs daugelyje sričių. Vis dėlto, kviečiu „neužmigti ant laurų“ ir dėti dar daugiau pastangų, kad mūsų miestas klestėtų!
Drauge kurkime klestintį Visaginą!
Meras     Erlandas Galaguz </t>
  </si>
  <si>
    <t xml:space="preserve">Vadovaujantis  2023-2030 m. savivaldybės plėtros plane numatytais prioritetiniais tikslais ir uždaviniais buvo patvirtintas ir įgyvendinamas 2023-2025 m. strateginis veiklos planas, kurį sudarė 10 įvairius sektorius apimančių programų, susijusių su Vietos savivaldos įstatyme numatytų funkcijų įgyvendinimu. Ataskaitiniu laikotarpiu buvo administruojami savivaldybės biudžeto asignavimai ir kiti piniginiai ištekliai, organizuojamas savivaldybės biudžeto vykdymas, administruojamas savivaldybės turtas. Siekiant užtikrinti efektyvų viešojo administravimo subjektų darbą buvo kontroliuojama ir prižiūrima savivaldybės viešojo administravimo institucijų, įstaigų ir įmonių vadovų veikla. 
Taip pat pagal poreikį buvo tvirtinami įvairūs dokumentai teritorijų planavimo bei žemėtvarkos srityse. </t>
  </si>
  <si>
    <t>Visagino kaip postbranduolinės erdvės paveldo išsaugojimas, aktualizavimas, pristatymas</t>
  </si>
  <si>
    <t xml:space="preserve"> Socialinės gerovės kūrimas sumaniai, pažangiai, besimokančiai, moderniai ir laimingai bendruomenei</t>
  </si>
  <si>
    <t>Ikimokyklinio ugdymo įstaigų tinklo, kuriant naujas ugdymo vietas, stiprinimas</t>
  </si>
  <si>
    <t>Visagino savivaldybės priemonių, numatytų „Tūkstantmečio mokyklų“ Visagino ir Ignalinos rajono savivaldybių Švietimo pažangos plane, įgyvendinimas</t>
  </si>
  <si>
    <t>Vietos savivaldai priimant sprendimus integruotai ir tolygiai formuoti nevyriausybinių ir bendruomeninių organizacijų veiklai palankią aplinką savivaldybėje (dalyvaujamojo biudžeto priemonių vykdymas)</t>
  </si>
  <si>
    <t>Viešosios naudos nevyriausybinių ir bendruomeninių organizacijų institucinio stiprinimo projektų (gebėjimai, lyderystė, sąlygos viešosios naudos organizacijų veiklos tvarumui užtikrinti, socialinis verslas ir kt.) - vietos veiklos grupių strategijų tvirtinimas</t>
  </si>
  <si>
    <t>Inovatyvių sprendimų ir būdų savivaldybėje ir jos įstaigose, galinčių padidinti viešojo valdymo efektyvumą, diegimas (miesto dvynio informacinės sistemos sukūrimas)</t>
  </si>
  <si>
    <t xml:space="preserve"> Daugiafunkcių viešųjų erdvių poilsio, rekreacijos ir kultūros poreikiams įrengimas, modernizavimas ir/ar atnaujinimas </t>
  </si>
  <si>
    <t xml:space="preserve"> Kogeneracinės biokuro elektrinės (1,25 MW elektros galios, 6,8 MW šilumos galios) statyba</t>
  </si>
  <si>
    <t>Komunalinių, rūšiuojamųjų, žaliųjų atliekų, atliekų, tinkamų  paruošimui pakartotiniam naudojimui, surinkimo pajėgumų bei apdorojimo plėtra Visagino savivaldybėje, keičiant į kitus energetinius šaltinius</t>
  </si>
  <si>
    <t>1. Konkurencingo verslo skatinimas ir vietinės ekonomikos tvari plėtra
2. Socialinės gerovės kūrimas sumaniai, pažangiai, besimokančiai, moderniai ir laimingai bendruomenei
3. Tvarus, subalansuotas savivaldybės aplinkos vystymas ir plėtra</t>
  </si>
  <si>
    <t>Programos tikslas - įgyvendinti  Lietuvos Respublikos Konstitucijos ir įstatymų nustatytas, Lietuvos Respublikos vietos savivaldos įstatymo reglamentuotas savarankiškąsias savivaldybės bei valstybines (valstybės perduotas savivaldybei) funkcijas. Siekiant užtikrinti, kad minėtos funkcijos būtų vykdomos kokybiškai, ypatingas dėmesys skiriamas šiuolaikiniams vadybos metodams ir informacinėms technologijoms diegti savivaldybėje; vykdomų procedūrų viešumui ir skaidrumui; kontroliuoti ir prižiūrėti, ar teisėtai, efektyviai, ekonomiškai ir rezultatyviai valdomas ir naudojamas savivaldybės turtas ir patikėjimo teise valdomas valstybės turtas, kaip vykdomas savivaldybės biudžetas ir naudojami kiti piniginiai ištekliai. Efektyviai savivaldybės veiklai būtinas racionalus finansinių, materialinių ir žmogiškųjų išteklių paskirstymas, sistemingas veiklos planavimas</t>
  </si>
  <si>
    <t xml:space="preserve">Įgyvendinant šią priemonę buvo užtikrinta Visagino savivaldybės administracijai bei Visagino savivaldybės tarybai priskirtų funkcijų įgyvendinimas, t. y. buvo  rengiamas ir tvirtinamas savivaldybės biudžetas, viešojo sektoriaus subjekto metinių ataskaitų rinkinys, rengiamos ir tvirtinamos ketvirtinės ir tarpinės ataskaitos, tvarkoma  savivaldybės administracijai skirtų lėšų apskaita,vykdomos kitos  funkcijos, susijusios su finansų ir apskaitos tvarkymu.
Taip pat buvo vykdomi viešieji pirkimai.  Ataskaitiniais metais buvo centralizuoti 27 įstaigų viešieji pirkimai. Administracija per ataskaitinius metus atliko 30 centralizuotų viešųjų pirkimų procedūrų už 1.043,0 tūkst. Eur. Iš viso 2023 metais Administracija atliko prekių, paslaugų bei darbų viešųjų pirkimų už 5.294,5 tūkst. Eur.  Vykdydami prekių, paslaugų ar darbų pirkimų procedūras, Administracijos Viešųjų pirkimų skyriaus specialistai didelį dėmesį skyrė aplinkos apsaugos kriterijų taikymui. Per ataskaitinius metus  Administracijos atlikti žalieji pirkimai sudarė 76,5 proc. (2022 m. - 73,6 proc, 2021 m. - 12,6 proc.) nuo visų atliktų pirkimų vertės. Žalieji mažos vertės pirkimai sudarė 91,2 proc. nuo visų mažos vertės pirkimų, kuriuos įvykdžius pasirašomos rašytinės sutartys, vertės.
 Administracija, vadovaudamasi Viešųjų pirkimų įstatymo 10 straipsniu ir Visagino savivaldybės tarybos sprendimu, sudarė vieną vidaus sandorį dėl maisto/virtuvės atliekų surinkimo Visagine ir jų vežimo į apdorojimo įrenginius paslaugų, kurio vertė 968,0 tūkst. Eur.         
Centralizuotas savivaldybės audito skyrius atliko savivaldybės 2022 m. II pusmečio ir 2023 m. I pusmečio administracinės naštos mažinimo priemonių plano vykdymo vertinimą, Visagino Draugystės progimnazijos vidaus kontrolės vertinimą, Utenos regiono plėtros tarybos veiklos vertinimą. 
Viešosios tvarkos ir rinkliavų skyrius vykdė viešosios tvarkos užtikrinimo priemones. Iš viso buvo surašyta 120 administracinių nusižengimų protokolų.
Transporto ir ūkio skyrius organizavo savivaldybės institucijų aprūpinimą ūkinėmis, techninėmis, biuro priemonėmis, patalpomis ir kt. būtinomis priemonėmis, organizavo savivaldybės institucijų darbui reikalingą komunalinių, ryšių ir transporto paslaugų teikimą.
Vidaus administravimo ir informacinių technologijų skyrius užtikrino „vieno langelio“ principu veikiančios paslaugų teikimo asmenims sistemos vystymą savivaldybėje ir atliko asmenų aptarnavimo funkcijas, organizavo  ir užtikrino savivaldybės teisės aktų, gaunamųjų, siunčiamųjų ir
vidaus dokumentų valdymą savivaldybės institucijose pagal norminių ir metodinių dokumentų reikalavimus, tvarkė ir valdė dokumentus taip, kad būtų užtikrinta greita dokumentų paieška ir naudojimas.
Teisės, personalo ir civilinės metrikacijos skyrius tikrino savivaldybės institucijų rengiamų teisės aktų projektų teisėtumą, atstovavo savivaldybei ir savivaldybės institucijoms teisme, vykdė personalo administravimo ir darbų saugos užtikrinimo funkcijas. 
Architektūros ir teritorijų planavimo skyrius užtikrino Lietuvos Respublikos įstatymų, Vyriausybės nutarimų, kitų teisės aktų, savivaldybės institucijų sprendimų teritorijų planavimo, statybos, statinių naudojimo priežiūros ir žemėtvarkos srityse vykdymą savivaldybės teritorijoje.
Vietinio ūkio valdymo ir statybos, Strateginio planavimo ir investicijų valdymo skyriai vykdė funkcijas, susijusias su ES lėšų pritraukimu ir projektų įgyvendinimu, ir kitas funkcijas. 
Priemonė įvykdyta iš dalies, nes suplanuotos lėšos buvo naudojamos pagal poreikį. 
</t>
  </si>
  <si>
    <t xml:space="preserve">Įgyvendinant šią priemonę buvo užtikrinamas Visagino savivaldybės tarybos ir mero sekretoriato veiklos organizavimas. Priemonė įvykdyta iš dalies, nes dirbo mažiau darbuotojų, nei buvo planuota. 
</t>
  </si>
  <si>
    <t xml:space="preserve">Aktualizuoti (esant poreikiui - nuasmeninti) teisės aktai skelbiami viešai savivaldybės interneto svetainėje, 2023 m. paskelbti 1445 teisės aktai ir jų pakeitimai. Priemonė įvykdyta iš dalies, nes buvo nepradėtas vykdyti kapinių skaitmeninimas, kadangi Ekonomikos ir inovacijų ministerijai buvo pateikta paraiška finansavimui gauti. Paraiška gavo finansavimą. 2024 m. bus pradėtas įgyvendinti projektas. </t>
  </si>
  <si>
    <r>
      <t>Visagino savivaldybės meras Erlandas Galaguz ir Visagino savivaldybės tarybos narys Vytautas Račkauskas atstovauja Visagino savivaldybei Utenos regiono plėtros taryboje, kuri planuoja ir koordinuoja nacionalinės regioninės politikos įgyvendinimą toje apskrityje, skatina Utenos regiono socialinę ir ekonominę plėtrą ir apskrities savivaldybių bendradarbiavimą.
Regiono plėtros tarybos veiklos tikslai: planuoti ir koordinuoti nacionalinės regioninės politikos įgyvendinimą konkrečiame regione ir kartu su kitomis regionų plėtros tarybomis, savivaldybių institucijomis ir įstaigomis įgyvendinti regioninės plėtros skatinimo priemones; skatinti socialinę, ekonominę regiono plėtrą, darnų urbanizuotų teritorijų vystymą, socialinių ir ekonominių skirtumų tarp regiono ir kitų regionų bei šių skirtumų tarp regiono savivaldybių mažinimą; skatinti savivaldybių bendradarbiavimą siekiant padidinti funkcinių zonų vystymo ir viešųjų paslaugų teikimo organizavimo efektyvumą; atstovauti regionui. 
2023 metais Utenos regiono plėtros taryba kartu su Utenos regiono savivaldybėmis parengė ir patvirtino Utenos regiono plėtros planą (ir jo pakeitimus), koordinavo ir kontroliavo regiono plėtros plano įgyvendinimą, teikė Vidaus reikalų ministerijai ir kitoms Vyriausybės tvirtinamus planavimo dokumentus rengiančioms valstybės institucijoms, įstaigoms pasiūlymus dėl Regionų plėtros programos ir kitų Vyriausybės tvirtinamų planavimo dokumentų, kurių įgyvendinimas gali turėti poveikį regiono plėtrai, projektų.
2023 m. parengtos ir patvirtintos Utenos regiono plėtros plano pažangos priemonės, kurias įgyvendinant dalyvauja Visagino savivaldybė:
1)	 Pažangos priemonė LT029-02-01-02 „Rūšiuojamojo atliekų surinkimo skatinimas“, Visagino savivaldybė planuoja įgyvendinti investicinius projektus „Komunalinių atliekų rūšiuojamojo atliekų surinkimo pajėgumų plėtra Visagino savivaldybėje“ ir „Didelių gabaritų atliekų surinkimo aikštelės įrengimas Visagino mieste“ (planuojama projektų vertė 2 090 180,75 Eur, iš jų ES lėšos – 1 776 653,54 Eur);
2)	 Pažangos priemonė LT029-01-03-01 „Ugdymo prieinamumo atskirtį patiriantiems vaikams didinimas“, Visagino savivaldybė planuoja įgyvendinti investicinius projektus „Stiprinti ikimokyklinio ugdymo įstaigų tinklą, kuriant naujas ugdymo veiklas“ ir „ Visagino progimnazijų erdvių pritaikymas negalią turinčių mokinių ugdymuisi įtraukiuoju būdu“ (planuojama projektų vertė 2 073 235 Eur, iš jų ES lėšos – 1 762 249,75 Eur);
3)	 Pažangos priemonė LT029-01-03-02 „Visos dienos mokyklos modelio pritaikymas formalaus ir neformalaus švietimo integracijai“, Visagino savivaldybė planuoja įgyvendinti investicinį projektą „Visos dienos užimtumo erdvių sukūrimas Visagino bendrojo ugdymo mokyklose“ (planuojama projekto vertė 1 160 000 Eur, iš jų ES lėšos – 986 000 Eur);
4)	 Pažangos priemonė LT029-01-01-01 „Socialinių paslaugų infrastruktūros, būtinos institucinės globos pertvarkos įgyvendinimui, modernizavimas ir plėtra“, Visagino savivaldybė planuoja įgyvendinti investicinį projektą „Bendrabučio tipo pastato, esančio Kosmoso g. 28 Visagine, patalpų pritaikymas socialinio būsto įrengimui-II etapas“ (planuojama projekto vertė 962 734,71 Eur, iš jų ES lėšos – 818 031,58 Eur);</t>
    </r>
    <r>
      <rPr>
        <sz val="9"/>
        <color rgb="FFFF0000"/>
        <rFont val="Arial"/>
        <family val="2"/>
      </rPr>
      <t xml:space="preserve">
</t>
    </r>
    <r>
      <rPr>
        <sz val="9"/>
        <rFont val="Arial"/>
        <family val="2"/>
      </rPr>
      <t xml:space="preserve">
5)	 Pažangos priemonė LT029-01-01-01 „Socialinių paslaugų infrastruktūros, būtinos institucinės globos pertvarkos įgyvendinimui, modernizavimas ir plėtra“, Visagino savivaldybė planuoja įgyvendinti investicinį projektą „Specialiųjų poreikių turinčių asmenų gerovės kūrimas ir įtrauktis į socialinę ir ekonominę Visagino savivaldybės raidą“ (planuojama projekto vertė 2 110 699,12 Eur, iš jų ES lėšos – 1 793 094,25 Eur);
2023 m. Utenos regiono plėtros taryba patvirtino, kad Visagino miesto vietos veiklos grupės 2024–2029 m. vietos plėtros strategijos projektas atitinka 2022–2030 m. Utenos regiono plėtros plano 1 tikslą „Gerinti socialinių, sveikatos priežiūros, švietimo paslaugų kokybę ir prieinamumą“ ir 3 tikslą „Prisidėti prie investicinės aplinkos patrauklumo ir bendrų turizmo paslaugų vystymo “.
Utenos regiono plėtros planą galite rasti paspaudę nuorodą:
https://www.e-tar.lt/portal/lt/legalAct/579ce010a1fd11ed8df094f359a60216
</t>
    </r>
  </si>
  <si>
    <t xml:space="preserve">Savivaldybės tarybos ir mero sekretoriato darbo organizavimui numatytų lėšų panaudojimas, proc. </t>
  </si>
  <si>
    <t>Jaunimo reikalų koordinatoriams savivaldybėse rekomenduotų atlikti užduočių įgyvendinimas (ne mažiau kaip), proc.</t>
  </si>
  <si>
    <t>Užtikrinti valstybinių  (valstybės perduotų savivaldybėms) funkcijų vykdymą</t>
  </si>
  <si>
    <t xml:space="preserve">Savivaldybės tarybos ir mero sekretoriato darbo organizavimas </t>
  </si>
  <si>
    <t xml:space="preserve">Įgyvendinant priemonę buvo organizuojama lopšelio-darželio „Auksinis gaidelis“, vaikų lopšelių-darželių „Auksinis raktelis“, „Ąžuoliukas“, „Gintarėlis“, „Kūlverstukas“, „Verdenės“ gimnazijos, „Žiburio“ pagrindinės mokyklos, „Atgimimo“ gimnazijos, Draugystės ir „Gerosios vilties“ progimnazijų, Visagino kūrybos ir menų akademijos, Švietimo pagalbos tarnybos veikla ir paslaugų užtikrinimas.  Priemonės įgyvendinimui stebėti stebėsenos rodikliai, patvirtinti Visagino savivaldybės švietimo stebėsenos rodiklių sąraše, patvirtintame 2022-03-14 Visagino savivaldybės administarcijos direktoriaus įsakymu Nr. ĮV-E- 123 „Dėl Visagino savivaldybės švietimo stebėsenos rodiklių sąrašo patvirtinimo". </t>
  </si>
  <si>
    <t xml:space="preserve">Visagino savivaldybės švietimo stebėsenos rodiklių sąraše, patvirtintame 2022-03-14 Visagino savivaldybės administracijos direktoriaus įsakymu Nr. ĮV-E- 123 „Dėl Visagino savivaldybės švietimo stebėsenos rodiklių sąrašo patvirtinimo", įgyvendintų rodiklių skaičius </t>
  </si>
  <si>
    <t>Visagino savivaldybės bendrojo ugdymo mokyklų tinklo pertvarkos plano įgyvendintų priemonių proc., nuo visų planuotų įgyvendinti</t>
  </si>
  <si>
    <t>Sukurtų inovatyvių erdvių skaičius ikimokyklinio ugdymo įstaigose, kv.m</t>
  </si>
  <si>
    <t xml:space="preserve">Vaikų ir jaunimo vasaros poilsio organizavimas vykdant projektų konkursus, laimėjusių projektų koordinavimas  ir įgyvendinimo priežiūra. Iš viso buvo finansuota 18 projektų, kuriuose dalyvavo 597 vaikai. Priemonės poveikio rodiklis buvo pasiektas iš dalies, nes tinkamų finansuoti paraiškų buvo pateikta mažiau, nei planuota. </t>
  </si>
  <si>
    <t>Įgyvendinant priemonę buvo užtikrinamas savivaldybės administracijos ir/arba savivaldybės švietimo įstaigų dalyvavimas Švietimo, mokslo ir sporto ministerijos ar jos reguliavimo sričiai priskirtų įstaigų įgyvendinamuose projektuose partnerių pozicijoje tobulinant žmogiškuosius išteklius bei turtinant ugdymo aplinkas, dalyvavimas kituose projektuose, taip pat ir tarptautiniuose. 2023 m. buvo įgyvendinami projektai:
-Atviros ekosistemos atsiskaitymams negrynaisiais pinigais bendrojo ugdymo įstaigų valgyklose kūrimas (dalyvauja 5 mokyklos). Per 2023 m. mokymo įstaigos pagal Visagino savivaldybės administracijos parengtus pirkimo dokumentus organizavo viešojo pirkimo konkurus ir įsigijo išmanius kasos aparatus į valgyklas, administracija įsigijo mokinio pažymėjimų blankus.
-Karjeros specialistų tinklo vystymas (dalyvavo „Gerosios vilties" progimnazija, „Verdenės" gimnazija, Švietimo pagalbos tarnyba).
- Skaitmeninio ugdymo turinio kūrimas ir diegimas, dalyvavo visos mokyklos.
Lopšelis-darželis „Auksinis raktelis" dalyvavo projekte „Kokybiškų karjeros paslaugų teikimas realioje ir virtualioje aplinkoje veiklos „Jaunimo profesijos pasimatavimas realioje darbo vietoje vasaros atostogų metu“.
Žiburio pagrindinė mokykla dalyvavo projekte Nrd Plus  ,,Green Connection.</t>
  </si>
  <si>
    <t>Visagino savivaldybės švietimo stebėsenos rodiklių sąrašas,  patvirtintas 2022-03-14 Visagino savivaldybės administarcijos direktoriaus įsakymu Nr. ĮV-E- 123 „Dėl Visagino savivaldybės švietimo stebėsenos rodiklių sąrašo patvirtinimo"</t>
  </si>
  <si>
    <t>Buvusios mokyklos pastato Draugystės g. 10 ir aplinkinės teritorijos konversija pritaikant ją daugiafunkcės sporto arenos  sukūrimui</t>
  </si>
  <si>
    <t>Analizės ir schemos miesto erdvių tvarkymui, kurios būtų pritaikytos  fizinio aktyvumo veikloms (bėgimo, ėjimo trasos, lauko treniruoklių stotelės), parengimas</t>
  </si>
  <si>
    <t>Įgyvendinant aukščiau numatytą priemonę buvo užtikrintas viešųjų įstaigų Visagino sporto ir rekreacijos centro, Visagino krepšinio mokyklos, Visagino futbolo centro ir Visagino graikų-romėnų imtynių centro veiklos organizavimas ir ugdymo/treniruočių proceso užtikrinimas pagal finansavimo sutartis.</t>
  </si>
  <si>
    <t xml:space="preserve">Įgyvendinant šią priemonę 2023 m. vyko Visagino mokyklų sporto žaidynės (organizuota 17 varžybų, dalyvavo apie 400 dalyvių), Miesto gyventojams buvo pasiūlyti 26 sporto renginiai. Renginiuose dalyvavo daugiau kaip 1250 žmonių.  Taip pat įgyvendinant priemonę buvo organizuoti tokie renginiai kaip „Visaginas Rally Cup 2023“  ir sveikatingumo pėsčiųjų žygis „Visagino žygis" 2023. 
</t>
  </si>
  <si>
    <t xml:space="preserve">Ataskaitiniu laikotarpiu mero potvarkiu buvo sudaryta darbo grupė, kuri nagrinėjo galimybes daugiafunkcės sporto arenos sukūrimui ir aplinkinės teritorijos konversijai šalia pastato, esančio  Draugystės g. 10. Priemonė  vykdoma, nes darbo grupė  išvadų ir pasiūlymų pateikimą  perkelė  į 2024 m. Pagal pateiktas išvadas 2024 m. planuojama kreiptis į Visagino savivaldybės tarybą dėl tolesnio projekto įgyvendinimo. </t>
  </si>
  <si>
    <t xml:space="preserve">2022-08-26 Visagino savivaldybės tarybos sprendimu Nr. TS-148 „Dėl Visagino savivaldybės pradinių klasių mokinių mokymo plaukti programos patvirtinimo" buvo patvirtinta Visagino savivaldybės pradinių klasių mokinių mokymo plaukti programą, kurios pagrindinis tikslas mažinti skendimų skaičių, ugdyti sveiką mokinį ir formuoti sveikos bei fiziškai aktyvios mokinių gyvensenos įgūdžius. 2023 metais sėkmingai įgyvendinta „Išmok plaukti“ programa, pagal kurią Visagino antrokai ir trečiokai buvo mokomi plaukti ir saugiai jaustis vandenyje. 2023 m. programoje dalyvavo apie 400 vaikų. </t>
  </si>
  <si>
    <t xml:space="preserve">Kolektyvų, besiruošiančių dalyvauti Dainų šventėje, skaičius </t>
  </si>
  <si>
    <t xml:space="preserve">Įgyvendinant šią priemonę buvo ruošiamasi  dalyvauti Dainų šventės šimtmetyje. Įsigyjama atributika, instrumentai. Kolektyvų vadovai dalyvavo mokymuose. </t>
  </si>
  <si>
    <t>Ataskaitiniu laikotarpiu vyko Lietuvos liaudies meno paroda-konkursas „Aukso vainikas“, Lietuvos vaikų ir jaunimo liaudies meno paroda-konkursas „Sidabro vainikėlis“, Lietuvių bendruomenės renginys „Kaimynėli, būki sveikas“.</t>
  </si>
  <si>
    <t xml:space="preserve">Įgyvendinant šią priemonę buvo vykdomi renginia, susiję su kalendorinėmis šventėmis (Sekminės, Trejybės šventė, Joninės, Velykos). </t>
  </si>
  <si>
    <t xml:space="preserve">Įgyvendinant šią priemonę administruojamas Visagino savivaldybės  nematerialaus kultūros paveldo vertybių sisteminis sąrašas su surinktais ir nuolat atnaujinamais dabarties ir praeities duomenimis: aprašymais, vaizdo ir garso medžiaga. Organizuojama nematerialaus kultūros paveldo sklaida, inicijuojami projektai, bendradarbiavimas. Organizuojamas totorių dienos paminėjimas „Sobuntuj" festivalis. </t>
  </si>
  <si>
    <t>Užtikrintas nematerialaus paveldo apsaugos funkcijų administravimas</t>
  </si>
  <si>
    <t xml:space="preserve">Sveikos gyvensenos įgūdžių bendruomenėse stiprinimas bei visuomenės sveikatos stebėsenos savivaldybėje vykdymas </t>
  </si>
  <si>
    <t xml:space="preserve">58,8*
*2022 m. duomenys 
 </t>
  </si>
  <si>
    <t xml:space="preserve">Visagino savivaldybė pritardama Lietuvos Respublikos sveikatos apsaugos ministerijos inicijuotai sveikatos priežiūros įstaigų tinklo reformai dalyvauja sveikatos priežiūros įstaigų tinklo reformoje, kurios tikslas – kokybiškų ir saugių asmens sveikatos priežiūros paslaugų teikimas gyventojams nepaisant jų gyvenamosios vietos, socialinės ar ekonominės padėties. Ataskaitiniu laikotarpiu buvo pradėtas įgyvendinti projektas „Visagino savivaldybės sveikatos centro sveikatos priežiūros paslaugoms teikti reikiamos infrastruktūros
modernizavimas", kurio pagrindinis tikslas bendradarbiaujant Visagino savivaldybėje veikiančioms sveikatos priežiūros įstaigoms užtikrinti savivaldybėje gyvenantiems pacientams prieinamas ir kokybiškas sveikatos priežiūros paslaugas. Projekto įgyvendinimo metu Partneriai teikiant pirminio lygio ambulatorines  asmens sveikatos priežiūros ir antrinio lygio ambulatorines specializuotas asmens sveikatos priežiūros paslaugas įsigys medicininę įrangą, baldus, suremontuos šeimos gydytojų kabinetus ir aprūpins reikiama medicinine įranga ir priemonėmis.  Projekto partneriai - VšĮ Visagino ligoninė, VšĮ Pirminės sveikatos priežiūros centras, Rokiškio rajono savivaldybės visuomenės sveikatos biuras. </t>
  </si>
  <si>
    <t xml:space="preserve">Projekto tikslas: įkurti kompleksinės pagalbos centrą, skirtą organizuoti pagalbą šeimoms, auginančioms vaikus su negalia ir raidos ar elgesio sutrikimais. 
Įgyvendinant projektą planuojama pritaikyti patalpas, esančias Statybininkų g. 7, Visagine, socialinei įgūdžių ugdymo, palaikymo ir (ar) atkūrimo paslaugai teikti, suremontuojant esamo pastato patalpas.
Projekto vieta: Statybininkų g. 7, Visaginas
Priemonės įvykdymo rodiklis nepasiektas, nes ataskaitiniu laikotarpiu vyko pasiruošimas projekto įgyvendinimui. </t>
  </si>
  <si>
    <t xml:space="preserve">Projektą planuojama įgyvendinti 2021-2027 m.  Europos Sąjungos investicijų programos lėšomis. Ataskaitiniu laikotarpiu vadovaujantis 2023 m. rugsėjo 22 d.  Lietuvos Respublikos aplinkos ministro įsakymu Nr. D1-323 patvirtintomis  priemonės Finansavimo gairėmis, buvo užpildytas Regioninės pažangos priemonės „Skatinti rūšiuojamąjį atliekų surinkimą“ Visagino  savivaldybės poreikių pagrindimo forma (klausimynas) ir Utenos regiono plėtros tarybai pateiktas pasiūlymas dėl Visagino savivaldybės projekto (-ų) įtraukimo į regiono plėtros planą. URPPl pažangos priemonė LT029-02-01-02 patvirtinta 2023-12-15 Utenos regiono plėtros tarybos kolegijos sprendimu Nr. KS(T)-56. Paraišką projekto finansavimui gauti planuojama teikti 2024  m. IV ketvirtyje. Įgyvendinant projektą planuojamos šios veiklos:
 - techninės dokumentacijos parengimas;
 - 40-ies aikštelių plėtra, įrengiant 40 vnt. maisto/virtuvės atliekų pusiau požeminių konteinerių (1,3 kubinių metrų talpos) ir 10 vnt. tekstilės atliekų antžeminių konteinerių bei įrengiant infrastruktūrą esamiems (10 vnt.) tekstilės konteineriams;
 - 40 vnt. konteinerių maisto/virtuvės ir 10 vnt. tekstilės atliekų surinkimo konteinerių įsigijimas.
Priemonės įvykdymo rodiklis nepasiektas, nes jis bus pasiektas įgyvendinus projektą. Projekto veiklų pabaiga planuojama 2026 m. </t>
  </si>
  <si>
    <t>Želdynų ir želdinių apsaugos, tvarkymo, būklės stebėsenos, želdinių kūrimo, veisimo, inventorizacijos priemonių įgyvendinimas</t>
  </si>
  <si>
    <t xml:space="preserve">Projektą planuojama įgyvendinti 2021-2027 m.  Europos Sąjungos investicijų programos lėšomis. Projekto tikslas – sudaryti galimybę Vsagino savivaldybei nuolat turėti aktualią informaciją apie oro kokybę rizikos teritorijose, reikiamą gyventojams informuoti ir būklės gerinimo priemonėms laiku taikyti. Projekto veikla – įsigyti ir įrengti stacionarų kietųjų dalelių analizatorių.
Projektas bus vykdomas Visagino miesto teritorijoje. Ataskaitiniu laikotarpiu buvo analizuojama projektinė dokumentacija ir rengiama Visagino  savivaldybės poreikių pagrindimo forma (klausimynas), siekiant Utenos regiono plėtros tarybai pateikti pasiūlymą dėl Visagino savivaldybės projekto (-ų) įtraukimo į regiono plėtros planą.
Priemonės įvykdymo rodiklis nepasiektas, nes jis bus pasiektas įgyvendinus projektą. Projekto veiklų pabaiga planuojama 2026 m.  </t>
  </si>
  <si>
    <t xml:space="preserve">Priemonė įvykdyta iš dalies, nes ataskaitiniu laikotarpiu  buvo analizuojama informacija ir rengiama dokumentacija,  siekiant į  rengiamą Funkcinės zonos (VIZA) strategiją įtraukti projektus, susijusius su investicijoms pritaikyta verslo ir gamybos pastatų bei žemės infrastruktūra, skatinant apleistų/nenaudojamų/neefektyviai naudojamų teritorijų ir pastatų konversiją ir pritaikymą ekonominei veiklai.  </t>
  </si>
  <si>
    <t xml:space="preserve">Siekiant skatinti gyventojų verslumą ir ekonominį mobilumą, plėtojant viešąsias paslaugas ir paramą smulkiajam, vidutiniam verslui (SVV) bei vykdantiems ekonominę veiklą VšĮ Visagino ekonomikos plėtros agentūra įgyvendino ekonominio patrauklumo priemones, organizavo  ir rengė pristatymus potencialiems investuotojams, stiprino ir aktyvino komunikaciją su verslo atstovais. Įgyvendinant 2023-2027 m. Verslumo skatinimo programą, buvo organizuoti 4 verslumo renginiai ir mokymai senjorams. Renginiuose dalyvavo ne mažiau kaip po 15 asmenų. Įgyvendinant Verslo paramos programą konsultacijų suteikta ne mažiau kaip 130 asmenų. Informacija apie  investicinius objektus paskelbta įstaigos interneto svetainėje. 
Suteiktos 500 val. konsultacijos verslo atstovams dėl Axis reabilitacijos centro steigimo, Jachtų klubo įrengimo, verslo plėtros subsidijoms gauti. Organizuotas Lietuvos žiniasklaidos atstovų vizitas. Teikta pagalba rengiant paraiškas ES ar VB subsidijoms gauti (5 paraiškos).
</t>
  </si>
  <si>
    <t xml:space="preserve">Įgyvendinant šią priemonę buvo skatinama smulkiojo ir vidutinio verslo plėtra savivaldybėje, remiami smulkiojo ir vidutinio verslo, ekonominę veiklą vykdantys  subjektai, jų iniciatyvos ir projektai bei sudarytos palankios sąlygos kurti naujas darbo vietas savivaldybės teritorijoje. 2023 m. parama buvo skirta 4 įmonėms ir 2 asmenims, dirbantiems pagal individualios veiklos pažymėjimą, viena įmonė dalyvavo parodoje, kur buvo pristatomas Visagino turistinis potencialas. Iš viso negrąžintina finansinė parama buvo skirta 7 SVV subjektams.  Priemonės poveikio rodiklis buvo pasiektas iš dalies, nes tinkamų finansuoti paraiškų, buvo pateikta mažiau, nei planuota. </t>
  </si>
  <si>
    <t>Bendradarbystės centro  „Spiečius" veiklos užtikrinimas</t>
  </si>
  <si>
    <t xml:space="preserve">2023 metais Visagino BC „Spiečius“ buvo pravesta 127 individualios konsultacijos, pritraukti 2 nauji nariai (nedidelį naujų narių skaičių lėmė metų viduryje Inovacijų agentūros pakeisti reikalavimai, keliami potencialiems nariams, bei su tuo susiję papildomi apribojimai), 10 narių pratęsė narystės sutartį. 2023 rugsėjo mėn. „Spiečiuje" buvo organizuoti verslo akseleravimo programos mokymai, kuriuose dalyvavo 5 dalyviai ir 5 laisvieji klausytojai. Organizuota 10 informacinių renginių ir 4 atvirų durų dienų renginiai, vykdyta 4 sesijų mentorystės programa, kurioje dalyvavo 10 dalyvių porų. 2023 m. rugsėjo-spalio mėn. nuotoliniu būdu organizuoti E-komercijos mokymai „E.comGO“, kuriuose dalyvavo 10 dalyvių. 2023 m. Inovacijų agentūros „Spiečiaus“ nariams skiriamą palydimąją 11 000 Eur subsidiją gavo vienas Visagino „Spiečiaus“ narys. Inovacijų agentūros socialinių tinklų paskyroje publikuotos trys Visagino „Spiečiaus“ narių sėkmės istorijos: Dmitrij Panasiuk (kvalifikacijos tobulinimo ir papildomo mokymo veikla), Sandros Matvejevos (kūrybinė, meninė ir pramogų organizavimo veikla) ir Natalijos Rogozinos (kakavos, šokolado ir cukraus saldumynų gamyba, duonos gamyba; šviežių konditerijos kepinių ir pyragaičių gamyba – publikuota 2024 m.). Bendradarbystės centro „Spiečius“ narių skaičius - 15. Priemonės įvykdymo rodiklis pasiektas iš dalies, nes  metų viduryje Inovacijų agentūra pakeitė reikalavimaus, keliamus potencialiems nariams, bei su tuo susijusius papildomus apribojimus. 
</t>
  </si>
  <si>
    <t xml:space="preserve">Pagrindinis priemonės įgyvendinimo tikslas – pritraukti ir paskatinti trūkstamų specialybių aukštos profesinės kvalifikacijos specialistus dirbti Visagino savivaldybės biudžetinėse ir  viešosiose įstaigose, kurių savininkė arba dalininkė yra Visagino savivaldybė, kad būtų užtikrinti įstaigų veiklos poreikiai, teikiamų paslaugų gyventojams prieinamumas ir kokybė.  
Priemonės įgyvendinimas prisideda prie Strateginio plėtros plano priemonės „Integruotos investuotojų pritraukimo ir aptarnavimo sistemos sukūrimas ir tikslingais kanalais informacijos apie ekonominę ir investicijų aplinką Visagino potencialiems investuotojams skleidimas“ įgyvendinimo. 2023 m. paremti  5 asmenys. </t>
  </si>
  <si>
    <t xml:space="preserve">Projekto įgyvendinimo metu Visagino savivaldybės administracija, bendradarbiaudama su partneriais,  įsteigė Visagino inovacijų klasterį, įgyvendinant konversiją Visagino miesto savivaldybės valdomose patalpose: Visagino kultūros centre, esančiame Vilties g. 5, Visagino mieste, Visagino „Atgimimo“ gimnazijoje, esančioje adresu Tarybų g. 23 A, Visagino mieste, ir Visagino „Verdenės“ gimnazijoje, esančioje Taikos pr. 21, Visagino mieste.
Iš viso buvo atnaujinta 534 kv. m viešųjų pastatų ploto, paverčiant jį neformaliam švietimui skirtomis moderniomis kūrybinėmis, techninėmis dirbtuvėmis. Priemonės įvykdymo rodiklis nepasiektas, nes projekto veiklų įgyvendinimas baigtas 2023 m. 2024 m. Visagino inovacijų klasterį planuojama įveiklinti ir perduoti valdyti jungtinės veiklos partneriui. </t>
  </si>
  <si>
    <t>Įgyvendinat šią priemonę bus įgyvendinamas 2020 m. gruodžio 22 d. Visagino savivaldybės tarybos sprendimas Nr. TS-275 „Dėl Utenos regiono plėtros tarybos steigimo“.  Pagrindiniai Utenos regiono plėtros tarybos veiklos tikslai:
- planuoti, koordinuoti nacionalinės regioninės politikos įgyvendinimą Utenos regione ir bendrai su kitomis regionų plėtros tarybomis, savivaldybių institucijomis ir įstaigomis įgyvendinamas regioninės plėtros skatinimo priemones; 
- skatinti socialinę, ekonominę Utenos regiono plėtrą, darnų urbanizuotų teritorijų vystymą, socialinių ir ekonominių skirtumų tarp Utenos regiono ir kitų regionų bei šių skirtumų tarp Utenos regiono savivaldybių mažinimą;
- skatinti savivaldybių bendradarbiavimą, siekiant padidinti funkcinių zonų vystymo ir viešųjų paslaugų teikimo organizavimo efektyvumą;
- atstovauti Utenos regionui.</t>
  </si>
  <si>
    <t xml:space="preserve">Priemonės įgyvendinimas prisideda prie Strateginio plėtros plano priemonės Investavimo paketo/teisės aktų projektų parengimas stambaus investuotojo (-ų) pritraukimui (pramonės teritorijos/ LEZ suformavimui).
Parengus investavimo paketą/teisės aktų projektus investuotojui (sudarius investicijų sutartį), planuojama sutvarkyti infrastruktūrą iki planuojamo suteikti sklypo stambiam investuotojui (pramonės teritorija/laisvoji ekonominė zona) ribų įrengimas ir (ar) sutvarkymas (Drūkšinių k., Visagino sav.).
Priemonės įvykdymui numatytas rodiklis buvo nepasiektas dėl teisinės bazės, reglamentuojančios pramonės parkų/laisvųjų ekonominių zonų steigimą. 
</t>
  </si>
  <si>
    <t xml:space="preserve">Ataskaitiniu laikotarpiu parengtas Visagino savivaldybės vandens tiekimo, nuotekų ir lietaus kanalizacijos tvarkymo infrastruktūros plėtros specialiojo plano keitimo planas. Taip pat parengtas amalgamacijos projektas (Veteranų g. 13)   su MB „Žemės matavimo biuras“ bei perdalintų žemės sklypų kadastriniai matavimai. Priemonės įvykdymo rodiklis pasiektas iš dalies, nes buvo įgyvendinamas pagal poreikį. </t>
  </si>
  <si>
    <t xml:space="preserve">Ataskaitiniu laikotarpiu 2023 m. liepos 11 d. sudaryta paslaugų teikimo sutartis Nr. CPO262916/5-338 su MB „Žemės matavimų biuras“ dėl žemės sklypo formavimo ir pertvarkymo projekto parengimo ir suprojektuotų žemės sklypų paženklinimo ir kadastro duomenų bylų parengimo paslaugos. Priemonės įvykdymo rodiklis pasiektas iš dalies, nes buvo įgyvendinamas pagal poreikį. </t>
  </si>
  <si>
    <t xml:space="preserve">Ataskaitiniu laikotarpiu buvo rengiami dokumentai ir  analizuojama teisinė bazė, siekiant pasirengti  paraiškos teikimui projekto finansavimui gauti. Priemonės įvykdymo rodiklis nebuvo pasiektas, nes kartu su Energetikos ministerija buvo analizuojama teisinė bazė ir galimybės įrengti saulės parką Visagine, taip pat nebuvo patvirtintos finansavimo sąlygų gairės. </t>
  </si>
  <si>
    <t>Projekto „Laisvalaikio ir aktyvaus poilsio erdvės sukūrimas Jaunystės g. 4, Visagine" įgyvendinimas</t>
  </si>
  <si>
    <t xml:space="preserve">Priemonės įgyvendinimo rodiklis nepasiektas, nes ataskaitiniu laikotarpiu buvo  analizuojama situacija, dirbama su VIZA funkcinės zonos partneriais, rengiamas VIZA funkcinės zonos strategijos veiksmų planas, kuriame kaip vienas iš veiksmų numatomas įgyvendinti projektas, susijęs su žygių (pėsčiomis) maršrutų sukūrimu ir priėjimų prie lankomų/gamtos objektų įrengimu, taip pat  atokvėpio/stebėjimo vietų įrengimu. </t>
  </si>
  <si>
    <t xml:space="preserve">Priemonės įgyvendinimo rodiklis nepasiektas, nes ataskaitiniu laikotarpiu buvo  analizuojama situacija, dirbama su VIZA funkcinės zonos partneriais, rengiamas VIZA funkcinės zonos strategijos veiksmų planas, kuriame kaip vienas iš veiksmų numatomi įgyvendinti projektai, susiję su  Visagino kaip postbranduolinės erdvės, paveldo išsaugojimu ir aktualizavimu. </t>
  </si>
  <si>
    <t>Visagino kaip post branduolinės erdvės paveldo išsaugojimas, aktualizavimas, pristatymas</t>
  </si>
  <si>
    <t xml:space="preserve">Įgyvendinant šią priemonę buvo atlikti kolonų tarp gyvenamųjų namų remonto darbai (prie Energetikų g. 60 ir Jaunystės g. 11),  pavėsinės (stoginės) remonto/atstatymo vaikų žaidimo aikštelėje darbai, įrengta 10 suolų ir šiukšliadėžių prie Visagino ež. paplūdimio, įrengti natūralaus grunto takai prie Statybininkų g. 11, pakeisti suolai ir šiukšliadėžės ir įrengti dviračių stovai prie gyvenamųjų namų Visagine, Statybininkų g. 9, 11, 13, atlikti šachmatų aikštelės prie Visagino g. 15, Visagine, remonto ir kietos dangos po muzikos instrumentais įrengimo darbai, atliktas virvių parko prie Parko g. 16, Visagine, remontas, įrengti dideli hamakai prie Visagino paplūdimio (3 vnt.) ir Visagino „Atgimimo" gimnazijos (2 vnt.)., įsigytos naujos apšvietimo atramų Parko gatvei iliuminacijos ir suremontuotos turimos konstrukcijos (besmegeniai ir apšvietimų atramų iliuminacijos),  įrengti  šiukšliadėžių ir lauko suolų komplektai prie gyvenamųjų namų.  </t>
  </si>
  <si>
    <t>Projekto „Rytų Aukštaitijos miestai ir miesteliai – informavimo apie lankytinas vietas stiprinimas ženklinimo priemonėmis" įgyvendinimas</t>
  </si>
  <si>
    <t xml:space="preserve">Turizmo, rekreacijos ir poilsio viešųjų paslaugų teikimas per Visagino rekreacijos paslaugų centro filialo „Visagino parkas“ veiklą </t>
  </si>
  <si>
    <t xml:space="preserve">Įgyvendinant šią priemonę buvo užtikrinta savivaldybės lankomų objektų priežiūra ir remontas bei atlikti medinio tako prie Kukuižės ežero, Visagine, remonto ir įrengimo darbai. </t>
  </si>
  <si>
    <t xml:space="preserve">Priemonės įgyvendinimo rodiklis įvykdytas iš dalies, nes ataskaitiniu laikotarpiu buvo  analizuojama situacija, dirbama su VIZA funkcinės zonos partneriais, rengiamas VIZA funkcinės zonos strategijos veiksmų planas.  Visagino savivaldybės, Ignalinos ir Zarasų rajonų savivaldybių teritorijose funkcinės zonos (toliau funkcinė zona VIZA) strategija rengiama  siekiant nustatyti kelioms savivaldybėms svarbius probleminius klausimus, kurių sprendimui reikia bendrų veiksmų, visų pirma skirtų aktyvinti ir diversifikuoti  vietos ekonomiką, gerinti paslaugų kokybę, darbo vietų pasiekiamumą. Ataskaitiniu laikotarpiu buvo  analizuojama situacija, dirbama su VIZA funkcinės zonos partneriais, rengiamas VIZA funkcinės zonos strategijos veiksmų planas. </t>
  </si>
  <si>
    <t>Projektas „Darnaus judumo infrastruktūros įrengimas Visagino mieste - II etapas"</t>
  </si>
  <si>
    <t xml:space="preserve">Įgyvendinant šią priemonę buvo užtikrintas transporto paslaugų teikimas biudžetinėms ir pagal galimybes viešosioms įstaigoms, kurioms skirtas finansavimas iš savivaldybės biudžeto. Visagino rekreacijos paslaugų centras iš viso gavo 568 paraiškas skirti transportą, 14 paraiškų nebuvo patenkintos, iš jų: 10 dėl transporto užimtumo, 4 dėl transporto gedimo. </t>
  </si>
  <si>
    <t xml:space="preserve">Priemonės įvykdymo rodiklis buvo neįvykdytas, nes ataskaitiniu laikotarpiu buvo atnaujinamas Visagino miesto darnaus judumo plano turinio dalys – Veiksmų planas ir Biudžeto planas. Atnaujintą Visagino miesto darnaus judumo planą patvirtino Lietuvos Respublikos susisiekimo ministerija 2023 m . gruodžio 14 d. raštu Nr. 2-4663 „Dėl Visagino miesto darbnus judumo plano pakeitimo patvirtinimo“ vadovaudamasi Darnaus judumo planų rengimo rekomendacijų, patvirtintų Lietuvos Respublikos susisiekimo ministro 2022 m. gruodžio 27 d. įsakymu Nr. 3-586 „Dėl Darnaus judumo planų rengimo rekomendacijų patvirtinimo“, 15 punktu. 2024 m. IV ketvirtyje planuojama teikti paraišką projekto finansavimui gauti. Rodiklį planuojama pasiekti įgyvendinus projekto veiklas 2026 m. 
</t>
  </si>
  <si>
    <t xml:space="preserve">Ataskaitiniu laikotarpiu baigtas projekto veiklų įgyvendinimas.  Įgyvendintos 8 darnaus judumo priemonės, nes vienos priemonės įgyvendinimo buvo atsisakyta dėl veiklos įgyvendinimo poreikio nebuvimo (3D perėjos):
 - įrengta automobilių stovėjimo aikštelė šalia Visagino geležinkelio stoties;
 - įrengtos dviračių saugojimo aikštelės šalia Visagino mokyklų – 4 vnt.;
 - viešojo transporto stotelės pritaikytos specialiųjų poreikių turintiems žmonėms - 10 vnt.;
 - pritaikyti SPTŽ pėsčiųjų takai Taikos pr. ir Santarvės g.;
 - įrengta neregių vedimo sistema nuo Kosmoso g. 28 gyvenamojo namo, kuriame yra socialinis būstas;
 - įrengtas kryptinis  apšvietimas šalia pėsčiųjų perėjų - 15 vnt.;
 - įrengti 2 skaitmeniniai ekranai su maršrutų informacija bei tvarkaraščiais. </t>
  </si>
  <si>
    <r>
      <rPr>
        <b/>
        <sz val="9"/>
        <rFont val="Arial"/>
        <family val="2"/>
      </rPr>
      <t>Ataskaitiniu laikotarpiu buvo vykdomi šie darbai:
1)  Įvažiavimo į kiemą Nr. 109 (Veteranų g. 17, Taikos pr. 28, 30, 32, 36, 38, 40, 42 ,44) (Nr.34).</t>
    </r>
    <r>
      <rPr>
        <sz val="9"/>
        <rFont val="Arial"/>
        <family val="2"/>
      </rPr>
      <t xml:space="preserve"> Darbų atlikimo terminas 24 mėnesiai, iki 2024-10-10. Atlikti darbai: 
paruošiamieji, ardymo ir žemės darbai - 93,32%; 
pravažiavimų ir automobilių stovėjimo vietų dangos konstrukcijos įrengimas (AŠAS ir skaldos pagrindo sluoksnių įrengimas, asfaltbetonio AC16PD dangos įrengimas) - 96,64%; 
šaligatvių dangos konstrukcijos įrengimas - 85,06%; 
vandens nuvedimo (drenažo) įrengimas - 100%; 
bordiūrų įrengimas - 94,26%;  
konstrukcinių elementų įrengimas (laiptai ir atraminė sienutė) - 10,88%; 
lietaus nuotekų tinklų demontavimas ir įrengimas - 91,89%; 
apšvietimo tinklų išmontavimas ir įrengimas – 98,10%; 
baigiamieji darbai (šlaitų tvirtinimas, kelio ženklai, dangos ženklinimas, žolės sėjimas) -  50,47%.                                                                               
</t>
    </r>
    <r>
      <rPr>
        <b/>
        <sz val="9"/>
        <rFont val="Arial"/>
        <family val="2"/>
      </rPr>
      <t xml:space="preserve">2) Įvažiavimo į kiemą Nr. 112 (nuo Veteranų g. iki Visagino g. 16)(Nr.37). </t>
    </r>
    <r>
      <rPr>
        <sz val="9"/>
        <rFont val="Arial"/>
        <family val="2"/>
      </rPr>
      <t xml:space="preserve">Atlikti darbai - 100%.  Pasirašytas darbų perdavimo - priėmimo aktas.                                                                                                  
</t>
    </r>
    <r>
      <rPr>
        <b/>
        <sz val="9"/>
        <rFont val="Arial"/>
        <family val="2"/>
      </rPr>
      <t xml:space="preserve">3)  Įvažiavimo į kiemą Nr. 312 (Sedulinos al. 45, 47, 53, 55, 57, 59, 65, 69, 73, 75, Energetikų g. 24, 26, 28, 30, 32) (Nr. 70). </t>
    </r>
    <r>
      <rPr>
        <sz val="9"/>
        <rFont val="Arial"/>
        <family val="2"/>
      </rPr>
      <t xml:space="preserve"> Darbų atlikimo terminas 36 mėnesiai, iki 2025-10-11. 
2023 m. buvo pratęsti statybos rangos darbai, kurie numatyti II etape: 
paruošiamieji, ardymo ir žemės darbai - 88,12%;
 lietaus nuotekų tinklų demontavimas ir įrengimas -  43,01%;  
bordiūrų įrengimas - 84,36%;
 gatvės dangos konstrukcijos įrengimas - 60,13%; 
šaligatvių dangos konstrukcijos įrengimas - 60,54%; 
apšvietimo tinklų išmontavimas ir įrengimas - 60,13%.                                                                            
</t>
    </r>
    <r>
      <rPr>
        <b/>
        <sz val="9"/>
        <rFont val="Arial"/>
        <family val="2"/>
      </rPr>
      <t>4)</t>
    </r>
    <r>
      <rPr>
        <sz val="9"/>
        <rFont val="Arial"/>
        <family val="2"/>
      </rPr>
      <t xml:space="preserve"> Gatvių ženklinimo - paženklinta gatvių – 4 367,95 m².                                                
</t>
    </r>
    <r>
      <rPr>
        <b/>
        <sz val="9"/>
        <rFont val="Arial"/>
        <family val="2"/>
      </rPr>
      <t>5)</t>
    </r>
    <r>
      <rPr>
        <sz val="9"/>
        <rFont val="Arial"/>
        <family val="2"/>
      </rPr>
      <t xml:space="preserve"> Eismo saugumo priežiūros: 
Kelio ženklų priežiūra - 1217 vnt;
Naujai sumontuoti kelio ženklai - 97 vnt;
Demontuoti kelio ženklai - 65 vnt; 
Kitos saugaus eismo priežiūros priemonės (horizontalusis ženklinimas ir pan.) - 20,50 m².                                                                               Užtaisyta išdaužų –  1833,6 m². Atliktas išlyginamojo sluoksnio paklojimas naudojant asfaltbetonio mišinį AC 11 VN,  daugiabučių gyvenamųjų namų kieme Statybininkų  g. 8, 10, 12  - apie 801  m².                                                 
Atliktas asfaltbetonio AC11VN dangos įrengimas  šalia daugiabučio gyvenamojo namo Visagino g. 5  - apie 575  m².</t>
    </r>
  </si>
  <si>
    <t>Projektas įgyvendinamas pagal 2014–2020 metų Europos Sąjungos fondų investicijų veiksmų programos 7 prioriteto „Kokybiško užimtumo ir dalyvavimo darbo rinkoje skatinimas" Nr. 07.1.1-CPVA-V-906 priemonę „Kompleksinė paslaugų plėtra integruotų teritorijų vystymo programų tikslinėse teritorijose". Per 2023 metus projekto rangos darbų įgyvendinimas siekė 89,66% bei buvo atlikti šie darbai: 
1) Išardytos senos dangos ir konstrukcijos – 100%; 
2) įrengta pastato konstrukcija – 95%, pastato architektūra - 80%, šildymo, vėdinimo ir oro kondicionavimo sistemos - 95%, elektrotechninės sistemos - 95%, lauko apšvietimo tinklų demontavimas ir įrengimas – 95,01%, vidaus vandentiekio ir nuotekų šalinimo tinklų įrengimas – 97%,  lauko vandentiekio ir nuotekų šalinimo tinklų įrengimas - 95%, lauko šilumos tiekimo tinklų įrengimas – 95%, šilumos punkto įrengimas – 95%, elektroninių ryšių montavimo darbai – 85%, gaisro aptikimo ir apsaugos signalizacijos sistemų įrengimas – 85%, pėsčiųjų dviračių  tako, šaligatvio su pagrindais ir bordiūrais įrengimas – 95%, autobusų eismo ir automobilio aikštelės dangų su pagrindais ir bordiūrais įrengimas – 98%, mažosios architektūros formų (suoliukų, šiukšlių dėžių, dviračių stovų) įrengimas – 95%; baigiamieji darbai (kelio ženklai, dangos ženklinimas, žolės sėjimas) – 95 %.
Priemonės įvykdymo rodiklis nepasiektas, nes fasado ir jo tvirtinimo darbus bei įrengti vidų planuojama užbaigti iki 2024 m. pabaigos.</t>
  </si>
  <si>
    <t>2021-09-27 buvo pasirašyta sutartis su UAB „Vaigas“ dėl šaligatvių ir takų remonto miesto teritorijoje. Per 2023 metus atliktas  dalinis takų ir šaligatvių remontas Taikos pr. ir Kosmoso g., sutvarkyti šaligatviai l.-d. ,,Auksinis raktelis" teritorijoje, prie pastato Parko g. 14, prie namų Sedulinos al. 21, 35, Visagino g. 19, 21 ir 27, Parko g. 21. Atliktas šaligatvių dangos keitimas prie namo Statybininkų g. 4. , Partizanų gatvėje nuo Kosmoso g. iki  ,,Gerosios vilties" progimnazijos ir prie parduotuvės ,,Norfa" (Partizanų g. 10).</t>
  </si>
  <si>
    <t xml:space="preserve">Pagal rangos darbų sutartį, sudaryąa su AB ,,Panevėžio statybos trestas",  2022-10-15 pradėti vykdyti įvažiavimo į kiemą Nr. 207 (nuo Veteranų g. iki Sedulinos al. 23)  statybos rangos darbai,kurie turi būti baigti iki 2024-04-05. Per ataskaitinį laikotarpį baigti automobilių stovėjimo aikštelių įrengimo darbai, paklota asfalto danga  pagal projekto 1 ir 3 etapus. Taip pat baigti apšvietimo darbai, įrengti kelio ženklai. Priemonės įvykdymo rodiklis nepasiektas, nes 2024 metais bus atliktas automobilių stovėjimo aikštelių ženklinimas ir teritorijos apželdinimas bei užbaigti darbai. </t>
  </si>
  <si>
    <t xml:space="preserve">Pastato, esančio Vilties g. 3, rekonstravimas ir atlaisvintos teritorijos sutvarkymas, pritaikant daugiafunkcio centro įrengimui </t>
  </si>
  <si>
    <t>Projekto „Pastato, esančio Tarybų g. 23. Visagine,  patalpų atnaujinimas ir pritaikymas  Visagino miesto muziejaus veiklai" įgyvendinimas</t>
  </si>
  <si>
    <t>Projekto „VšĮ IAE regiono verslo ir turizmo informacijos centro pastato, esančio adresu Taikos pr. 7, energijos vartojimo efektyvumo didinimas" įgyvendinimas</t>
  </si>
  <si>
    <t>Projekto „Sedulinos alėjos atkarpos nuo Parko g. iki Visagino g. rekonstrukcija" įgyvendinimas</t>
  </si>
  <si>
    <t xml:space="preserve">Ataskaitiniu laikotarpiu buvo užbaigtos įrengti vaikų žaidimų aikštelės,  kurios buvo pradėtos tvarkyti 2022 metais, šalia daugiabučių gyvenamųjų namų Parko g. 25, Taikos pr. 54, Energetikų g. 14, Kosmoso g. 8, Statybininkų g. 3  ir Festivalio g. 10, 15 ,17 Visagine. Taip pat vaikų žaidimo aikštelės buvo įrengtos Visagino ežero pakrantėje, šalia daugiabučių gyvenamųjų namų, esančių Sedulinos al. 55, Jaunystės g. 19, Taikos pr. 12, Draugystės g. 1, Taikos pr. 50, Kosmoso g. 36, Parko g. 1/2, Visagine.  
Buvo vykdoma vaikų žaidimų aikštelių priežiūra. Į vaikų žaidimo aikštelių smėlio dėžes buvo atvežtas smėlis, suremontuota vaikų žaidimų įranga. Atlikta lauko vaikų žaidimo aikštelių dangos ir įrenginių metinės kontrolės patikra. Pagal gyventojų prašymus buvo įrengti nauji suoliukai su atramomis. 
Lopšelis-darželis „Gintarėlis" sutvarkė jiems priklausančią vaikų žaidimo aikštelę. </t>
  </si>
  <si>
    <t>Projektas įgyvendintas pagal 2014–2020 metų Europos Sąjungos fondų investicijų veiksmų programos 7 prioriteto „Kokybiško užimtumo ir dalyvavimo darbo rinkoje skatinimas" Nr. 07.1.1-CPVA-V-906 priemonę „Kompleksinė paslaugų plėtra integruotų teritorijų vystymo programų tikslinėse teritorijose". Ataskaitiniu laikotarpiu buvo baigtas projekto veiklų įgyvendinimas, kurių metu buvo atlikta Sedulinos alėjos atkarpos nuo Parko g. iki Visagino g. (~390 m ilgis) rekonstrukcija, buvo atnaujinta pėsčiųjų alėjos atkarpos danga, dalinai demontuotos esamos atraminės sienutės, rekonstruoti laiptai, modernizuotas  esamas fontanas, atnaujinta apšvietimo sistema ir kompleksiškai sutvarkyta aplinka (įrengti suoliukai, šiukšliadėžės, apželdinta teritorija). Įdiegus atnaujintą infrastruktūrą garantuotas pėsčiųjų patogumas ir saugumas bei sukurta estetiška viešoji erdvė gyventojams ir miesto svečiams, užtikrintos palankesnės sąlygos vietos verslininkams.</t>
  </si>
  <si>
    <t>Ataskaitiniu laikotarpiu buvo atliktas kliūčių ruožo prie „Bangos" pastato (Parko g. 16) remontas.</t>
  </si>
  <si>
    <r>
      <t>Ataskaitiniu laikotarpiu įgyvendinant  priemonę:
-  Visagino savivaldybės administracija atliko  lauko laiptų ir atraminės sienos Parko g. 7 (,,Draugystės" salė) remonto darbus, buvo parengtas gaisrinės saugos projektas Parko g. 14 pastatui,  parengtas pastato-vaikų poliklinikos paskirties keitimo projektas Taikos pr. 15,  įrengtas keltuvas neįgaliesiems Vilties g. 1, atlikti Visagino ežero paplūdimyje esančios vandens čiuožyklos konstrukcijų avariniai remonto darbai.
- „ Verdenės" gimnazija parengė kapitalinio remonto (pritaikant neįgaliesiems) techninį darbo projektą ir atliko jo ekspertizę.
- „Žiburio" pagrindinė mokykla įrengė ir modernizavo gaisro aptikimo ir signalizavimo sistemą.
- „Atgimimo" gimnazija  atliko lietaus nuotekų, vėdinimo kanalų ir stogo, įžeminimo ir žaibosaugos sistemų remonto darbus, parengė gaisro aptikimo ir signalizacijos techninį darbo projektą. 
- Draugystės progimnazija atliko elektronikos įrangos bei žemos įtampos tinklų (tarp jų priešgaisrinės signalizacijos valdymo blokų ir kamerų vaizdo stebėjimo sistemų, kurios buvo apgadintos žaibo iškrovos metu, remontą. 
- Visagino kūrybos ir menų akademija atliko Festivalio g. 6A . 3A ir Vilties g. 16 pastatuose  esančių patalpų  dalinį remontą. 
-  Lopšelis-darželis  „Auksinis gaidelis" įrengė gaisro aptikimo signalizaciją.
- Visagino rekreacijos paslaugų centras atliko lietaus šulinių remontą.
- Visagino savivaldybės kontrolės ir audito tarnyba atliko elektros keitimo ir vidaus apdailos remonto darbus (naujai įrengtos lubos, apšvietimas, pakeistos kabineto durys, pakeisti elektros laidai, lizdai ir kiti darbai). 
- Lopšelis-darželis „Ąžuoliukas" suremontavo įėjimus į grupes (2 vnt.).
- Lopšeli- darželis „Auksinis raktelis" atliko lietaus nuotekų stovų keitimo darbus.
- Lopšelis-darželis „Kūlverstukas" atliko grupių virtuvėlių remontą.
- Visagino viešoji biblioteka atliko holo remonto ir sanitarinio mazgo pritaikymo neįgaliesiems darbus.
- Visagino kultūros centras atliko pastato Parko g.16 stogo ir stogelio prilydomosios dangos pūslių ir  virš evakuacinio išėjimo laiptų stogelių atstatymo remonto darbus</t>
    </r>
    <r>
      <rPr>
        <sz val="9"/>
        <color rgb="FFFF0000"/>
        <rFont val="Arial"/>
        <family val="2"/>
      </rPr>
      <t xml:space="preserve">
</t>
    </r>
    <r>
      <rPr>
        <sz val="9"/>
        <rFont val="Arial"/>
        <family val="2"/>
      </rPr>
      <t xml:space="preserve">-Šeimos ir vaiko gerovės centras prie pastato, esančio Sedulinos al. 49,  įrengė pandusą neįgaliesiems. 
</t>
    </r>
  </si>
  <si>
    <t>Projekto „Visagino gatvių apšvietimo sistemos modernizavimas" įgyvendinimas</t>
  </si>
  <si>
    <t xml:space="preserve">Planuojant 2023 metais modernizuoti miesto apšvietimą buvo vertinama, kad vykdant modernizavimo darbus visas miesto apšvietimas bus atjungiamas vienu metu, todėl buvo planuotas mažesnis elektros energijos suvartojimas, tačiau vykdant apšvietimo modernizavimo darbus apšvietimas buvo jungiamas ir modernizuojamas ruožais, išvengiant pilno miesto apšvietimo atjungimo ir atlikus tam tikrų ruožų modernizavimą buvo įjungiamas anksčiau, negu tai numatė projektas. Atsižvelgiant į tai, faktinis suvartojimas viršijo planuotą, tačiau vykdant miesto apšvietimo modernizavimą buvo sumažintas gyventojų nepatogumas ir užtikrintas saugus eismas ir pėsčiųjų judėjimas tamsiu paros metu. </t>
  </si>
  <si>
    <t xml:space="preserve">Projekto „Kapinių Dūkšto kel. 62 plėtra" įgyvendinimas  </t>
  </si>
  <si>
    <t>Naujų objektų, sukurtų projektų įgyvendinimo metu, prijungimas prie AB „ESO" elektros skirstomųjų tinklų, esamų VSA objektų galių didinimas ir esamų kabelių iškėlimo paslaugos</t>
  </si>
  <si>
    <t xml:space="preserve">Atsižvelgiant į tai, kad  buvo būtina vykdyti teritorijos plėtrą (I-ame etape įrengti 9 kvartalai), pagal įvairias konfesijas, laidojama vienu metu keliuose kvartaluose, ataskaitiniu laikotarpiu  buvo kreiptasi į  Miškų urėdiją, kuri atliko miško kirtimo darbus nurodytame miško plote, bei įvykdžius viešojo pirkimo konkursą buvo  pasirašyta sutartis su rangovu UAB „Meleksas“.  Priemonės įvykdymo rodiklį planuojama pasiekti įvykdžius paslaugų sutartį 2024 m. </t>
  </si>
  <si>
    <t xml:space="preserve">Ataskaitiniu laikotarpiu buvo  atliktas kelių su žvyro danga  profiliavimas ir tankinimas vibrovolu, apie 3 km .    
Atliktas kelio Nr. 8/9 Visaginas - Liaudėnai dangos atstatymas iš nesurištųjų mineralinių medžiagų mišinio 0/32, kelio nuolydžių suformavimas panaudojant greiderį ir sutankinant vibrovolu - apie 3660 kv. m.                                                                      
Atliktas Tumelinos kaimo Turmanto gatvės paprastasis remontas (kelkraščio išorinės briaunos atstatymas, kelio griovių atnaujinimas, dangos įrengimas iš betono-žvyro 0/32 mišinio).   Įrengta pralaida (300 mm.) Tumelinos kaime Tumelinos gatvėje.  </t>
  </si>
  <si>
    <t xml:space="preserve">Nebaigtų statyti gyvenamosios paskirties pastatų, Sedulinos al. 36 ir 40, Visagine, griovimo darbų sutartis sudaryta 2023-05-31 su UAB „,Alkuras". Darbų atlikimo termino pabaiga 2024 m. gegužės mėn. Per 2023 metus rangovas nugriovė pastatus, išvežė didžiąją dalį statybinių atliekų. Priemonės įvykdymo rodiklis nepasiektas, nes 2024 metais bus užbaigtas atliekų išvežimas, pamatų duobių užpilymas ir aplinkos sutvarkymas. </t>
  </si>
  <si>
    <t xml:space="preserve">Ataskaitiniu laikotarpiu buvo įgyvendinamas 2023-03-30 Visagino savivaldybės tarybos sprendimas Nr. TS-84 „Dėl pritarimo projekto  „Individualių namų kvartalo vystymo susisiekimo komunikacijų  ir inžinerinių tinklų Visagino mieste įrengimas“ įgyvendinimui". Projekto tikslas – suprojektuoti ir įrengti naujo gyvenamųjų namų kvartalo, apimančio Gervės g., Ateities g., Tautų al., Šeimos g., Laisvės g., Visagino mieste, viešąją infrastruktūrą. Iš viso suformuoti 99 sklypai mažaukščių namų statybai, iš jų 2023 m. buvo parduota 32 sklypai. 
Taip pat buvo vykdomos konsultacijos su Valstybine teritorijų planavimo ir statybos inspekcija prie Aplinkos ministerijos, viešųjų pirkimų konsultacijos su potencialiais projektuotojais bei atsižvelgiant į gautas pastabas derinama ir parengta techninė projektavimo užduotis.  2024-02-14 pasirašyta projektavimo paslaugų sutartis. </t>
  </si>
  <si>
    <t xml:space="preserve">
Ataskaitiniu laikotarpiu buvo organizuoti keleivių vežimo Visagino savivaldybės vietinio (priemiestinio) reguliaraus susisiekimo maršrutais paslaugos pirkimai, atsižvelgiant į įvykusį viešojo pirkimo konkursą, vietinį (miesto) reguliaraus susisiekimo maršrutą ir maršrutus į sodininkų bendrijas bei kapines aptarnauja UAB „Transporto centras“, maršrutai nemokami.  Maršrutui Nr. 6, Visagino miestas - Makaravas, aptarnauti buvo vykdomas paslaugų pirkimas, tačiau neatsirado vežėjas, todėl nebuvo panaudotos visos planuotos lėšos.
Įgyvendinant priemonę buvo organizuojami 6 maršrutai:
1. Vietinio (priemiestinio) reguliaraus susisiekimo maršrutai Nr. 1-4 (Visagino miestas-sodininkų bendrijos „Pavasaris", „Statybininkas", „Vyšnia" ir Kapinės)
2. Vietinio reguliaraus susisiekimo maršrutas Nr. 5 (Visagino miestas -Lapušiškės kaimas). 
3. Vietinio (miesto) reguliaraus susisiekimo maršrutas Nr. 8 (Visagino miestas)
</t>
  </si>
  <si>
    <t xml:space="preserve">Žygių maršrutų  „Visaginas. Miestas miške-miškas mieste" sukūrimas, integracija į funkcinės zonos VIZA ir Utenos regiono bendrus turizmo maršrutus, priėjimų prie lankomų/gamtos objektų įrengimas, atokvėpio/stebėjimo vietų įrengimas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</si>
</sst>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quot;     &quot;;\-#,##0.00&quot;     &quot;;&quot; -&quot;#&quot;     &quot;;@\ "/>
    <numFmt numFmtId="165" formatCode="#,##0.00&quot;    &quot;;\-#,##0.00&quot;    &quot;;&quot; -&quot;#&quot;    &quot;;@\ "/>
    <numFmt numFmtId="166" formatCode="0.000"/>
    <numFmt numFmtId="167" formatCode="0.0"/>
    <numFmt numFmtId="168" formatCode="00"/>
    <numFmt numFmtId="169" formatCode="0.0%"/>
  </numFmts>
  <fonts count="154">
    <font>
      <sz val="10"/>
      <name val="Arial"/>
      <family val="2"/>
      <charset val="186"/>
    </font>
    <font>
      <sz val="11"/>
      <color indexed="8"/>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TimesLT"/>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color indexed="10"/>
      <name val="Arial"/>
      <family val="2"/>
      <charset val="186"/>
    </font>
    <font>
      <b/>
      <sz val="10"/>
      <name val="Times New Roman"/>
      <family val="1"/>
      <charset val="186"/>
    </font>
    <font>
      <sz val="10"/>
      <name val="Times New Roman"/>
      <family val="1"/>
      <charset val="186"/>
    </font>
    <font>
      <sz val="9"/>
      <name val="Times New Roman"/>
      <family val="1"/>
      <charset val="186"/>
    </font>
    <font>
      <sz val="8"/>
      <name val="Times New Roman"/>
      <family val="1"/>
      <charset val="186"/>
    </font>
    <font>
      <sz val="8"/>
      <name val="Arial"/>
      <family val="2"/>
      <charset val="186"/>
    </font>
    <font>
      <b/>
      <i/>
      <sz val="10"/>
      <color indexed="14"/>
      <name val="Times New Roman"/>
      <family val="1"/>
      <charset val="186"/>
    </font>
    <font>
      <i/>
      <sz val="8"/>
      <name val="Times New Roman"/>
      <family val="1"/>
      <charset val="186"/>
    </font>
    <font>
      <sz val="7"/>
      <name val="Times New Roman"/>
      <family val="1"/>
      <charset val="186"/>
    </font>
    <font>
      <b/>
      <i/>
      <sz val="10"/>
      <name val="Times New Roman"/>
      <family val="1"/>
      <charset val="186"/>
    </font>
    <font>
      <b/>
      <i/>
      <sz val="10"/>
      <color indexed="8"/>
      <name val="Times New Roman"/>
      <family val="1"/>
      <charset val="186"/>
    </font>
    <font>
      <i/>
      <sz val="8"/>
      <name val="Arial"/>
      <family val="2"/>
      <charset val="186"/>
    </font>
    <font>
      <sz val="10"/>
      <color indexed="10"/>
      <name val="Times New Roman"/>
      <family val="1"/>
      <charset val="186"/>
    </font>
    <font>
      <sz val="10"/>
      <color indexed="8"/>
      <name val="Times New Roman"/>
      <family val="1"/>
      <charset val="186"/>
    </font>
    <font>
      <sz val="8"/>
      <color indexed="8"/>
      <name val="Times New Roman"/>
      <family val="1"/>
      <charset val="186"/>
    </font>
    <font>
      <sz val="9"/>
      <name val="Times New Roman"/>
      <family val="1"/>
      <charset val="1"/>
    </font>
    <font>
      <sz val="10"/>
      <name val="Times New Roman"/>
      <family val="1"/>
      <charset val="204"/>
    </font>
    <font>
      <b/>
      <sz val="12"/>
      <name val="Times New Roman"/>
      <family val="1"/>
      <charset val="186"/>
    </font>
    <font>
      <b/>
      <sz val="12"/>
      <color indexed="8"/>
      <name val="Times New Roman"/>
      <family val="1"/>
      <charset val="186"/>
    </font>
    <font>
      <b/>
      <sz val="10"/>
      <name val="Times New Roman"/>
      <family val="1"/>
      <charset val="1"/>
    </font>
    <font>
      <sz val="10"/>
      <name val="Times New Roman"/>
      <family val="1"/>
      <charset val="1"/>
    </font>
    <font>
      <sz val="9"/>
      <name val="Times New Roman"/>
      <family val="1"/>
      <charset val="204"/>
    </font>
    <font>
      <sz val="8"/>
      <name val="Times New Roman"/>
      <family val="1"/>
      <charset val="1"/>
    </font>
    <font>
      <sz val="10"/>
      <color indexed="8"/>
      <name val="Times New Roman"/>
      <family val="1"/>
      <charset val="1"/>
    </font>
    <font>
      <b/>
      <i/>
      <sz val="10"/>
      <color indexed="14"/>
      <name val="Times New Roman"/>
      <family val="1"/>
      <charset val="1"/>
    </font>
    <font>
      <sz val="9"/>
      <color indexed="81"/>
      <name val="Tahoma"/>
      <family val="2"/>
      <charset val="186"/>
    </font>
    <font>
      <sz val="6"/>
      <name val="Times New Roman"/>
      <family val="1"/>
      <charset val="1"/>
    </font>
    <font>
      <b/>
      <sz val="9"/>
      <color indexed="81"/>
      <name val="Tahoma"/>
      <family val="2"/>
      <charset val="186"/>
    </font>
    <font>
      <sz val="10"/>
      <name val="Arial"/>
      <family val="2"/>
      <charset val="186"/>
    </font>
    <font>
      <sz val="10"/>
      <color indexed="10"/>
      <name val="Times New Roman"/>
      <family val="1"/>
      <charset val="186"/>
    </font>
    <font>
      <sz val="10"/>
      <color indexed="10"/>
      <name val="Arial"/>
      <family val="2"/>
      <charset val="186"/>
    </font>
    <font>
      <b/>
      <sz val="10"/>
      <color indexed="10"/>
      <name val="Times New Roman"/>
      <family val="1"/>
      <charset val="1"/>
    </font>
    <font>
      <sz val="10"/>
      <color indexed="10"/>
      <name val="Times New Roman"/>
      <family val="1"/>
      <charset val="1"/>
    </font>
    <font>
      <sz val="10"/>
      <name val="Times Bold Italic"/>
      <family val="1"/>
    </font>
    <font>
      <i/>
      <sz val="8"/>
      <name val="Times Bold Italic"/>
      <family val="1"/>
    </font>
    <font>
      <sz val="10"/>
      <color indexed="10"/>
      <name val="Times New Roman"/>
      <family val="1"/>
      <charset val="204"/>
    </font>
    <font>
      <sz val="9"/>
      <color indexed="10"/>
      <name val="Times New Roman"/>
      <family val="1"/>
      <charset val="1"/>
    </font>
    <font>
      <sz val="8"/>
      <color indexed="10"/>
      <name val="Times New Roman"/>
      <family val="1"/>
      <charset val="1"/>
    </font>
    <font>
      <b/>
      <i/>
      <sz val="10"/>
      <color indexed="10"/>
      <name val="Times New Roman"/>
      <family val="1"/>
      <charset val="186"/>
    </font>
    <font>
      <b/>
      <sz val="12"/>
      <name val="Times Bold Italic"/>
      <family val="1"/>
    </font>
    <font>
      <sz val="12"/>
      <name val="Times Bold Italic"/>
      <family val="1"/>
    </font>
    <font>
      <i/>
      <sz val="12"/>
      <name val="Times Bold Italic"/>
      <family val="1"/>
    </font>
    <font>
      <b/>
      <i/>
      <sz val="12"/>
      <name val="Times Bold Italic"/>
      <family val="1"/>
    </font>
    <font>
      <sz val="8"/>
      <name val="Times Bold Italic"/>
      <family val="1"/>
    </font>
    <font>
      <b/>
      <sz val="8"/>
      <name val="Times Bold Italic"/>
      <family val="1"/>
    </font>
    <font>
      <b/>
      <i/>
      <sz val="8"/>
      <name val="Times Bold Italic"/>
      <family val="1"/>
    </font>
    <font>
      <b/>
      <i/>
      <sz val="10"/>
      <name val="Times Bold Italic"/>
      <family val="1"/>
    </font>
    <font>
      <sz val="12"/>
      <color indexed="10"/>
      <name val="Times Bold Italic"/>
      <family val="1"/>
    </font>
    <font>
      <b/>
      <sz val="12"/>
      <color indexed="10"/>
      <name val="Times Bold Italic"/>
      <family val="1"/>
    </font>
    <font>
      <b/>
      <sz val="10"/>
      <name val="Times Bold Italic"/>
      <family val="1"/>
    </font>
    <font>
      <sz val="12"/>
      <color indexed="53"/>
      <name val="Times Bold Italic"/>
      <family val="1"/>
    </font>
    <font>
      <sz val="12"/>
      <color indexed="12"/>
      <name val="Times Bold Italic"/>
      <family val="1"/>
    </font>
    <font>
      <b/>
      <i/>
      <sz val="12"/>
      <color indexed="10"/>
      <name val="Times Bold Italic"/>
      <family val="1"/>
    </font>
    <font>
      <sz val="12"/>
      <color indexed="8"/>
      <name val="Times New Roman"/>
      <family val="1"/>
      <charset val="186"/>
    </font>
    <font>
      <sz val="11"/>
      <color theme="1"/>
      <name val="Calibri"/>
      <family val="2"/>
      <charset val="186"/>
      <scheme val="minor"/>
    </font>
    <font>
      <b/>
      <i/>
      <sz val="10"/>
      <color rgb="FFFF00FF"/>
      <name val="Times New Roman"/>
      <family val="1"/>
      <charset val="186"/>
    </font>
    <font>
      <sz val="10"/>
      <color rgb="FF000000"/>
      <name val="Times New Roman"/>
      <family val="1"/>
      <charset val="186"/>
    </font>
    <font>
      <sz val="8"/>
      <color rgb="FF000000"/>
      <name val="Times New Roman"/>
      <family val="1"/>
      <charset val="186"/>
    </font>
    <font>
      <b/>
      <i/>
      <sz val="10"/>
      <color rgb="FF000000"/>
      <name val="Times New Roman"/>
      <family val="1"/>
      <charset val="186"/>
    </font>
    <font>
      <b/>
      <sz val="12"/>
      <color rgb="FF000000"/>
      <name val="Times New Roman"/>
      <family val="1"/>
      <charset val="186"/>
    </font>
    <font>
      <b/>
      <sz val="10"/>
      <name val="Arial"/>
      <family val="2"/>
    </font>
    <font>
      <sz val="10"/>
      <name val="Arial"/>
      <family val="2"/>
    </font>
    <font>
      <sz val="9"/>
      <name val="Calibri"/>
      <family val="2"/>
      <charset val="186"/>
    </font>
    <font>
      <b/>
      <i/>
      <sz val="10"/>
      <name val="Arial"/>
      <family val="2"/>
    </font>
    <font>
      <b/>
      <sz val="7"/>
      <name val="Arial"/>
      <family val="2"/>
    </font>
    <font>
      <sz val="7"/>
      <name val="Arial"/>
      <family val="2"/>
    </font>
    <font>
      <b/>
      <sz val="7"/>
      <color rgb="FFFF0000"/>
      <name val="Arial"/>
      <family val="2"/>
    </font>
    <font>
      <b/>
      <sz val="7"/>
      <color rgb="FF000000"/>
      <name val="Arial"/>
      <family val="2"/>
    </font>
    <font>
      <b/>
      <i/>
      <sz val="7"/>
      <color rgb="FF000000"/>
      <name val="Arial"/>
      <family val="2"/>
    </font>
    <font>
      <b/>
      <i/>
      <sz val="7"/>
      <name val="Arial"/>
      <family val="2"/>
    </font>
    <font>
      <sz val="7"/>
      <color rgb="FFFF0000"/>
      <name val="Arial"/>
      <family val="2"/>
    </font>
    <font>
      <sz val="7"/>
      <name val="Arial"/>
      <family val="2"/>
      <charset val="186"/>
    </font>
    <font>
      <b/>
      <sz val="9"/>
      <name val="Arial"/>
      <family val="2"/>
    </font>
    <font>
      <sz val="9"/>
      <name val="Arial"/>
      <family val="2"/>
    </font>
    <font>
      <b/>
      <i/>
      <sz val="9"/>
      <name val="Arial"/>
      <family val="2"/>
    </font>
    <font>
      <sz val="10"/>
      <color rgb="FFFF0000"/>
      <name val="Arial"/>
      <family val="2"/>
    </font>
    <font>
      <b/>
      <sz val="10"/>
      <color rgb="FF000000"/>
      <name val="Arial"/>
      <family val="2"/>
    </font>
    <font>
      <b/>
      <sz val="8"/>
      <name val="Arial"/>
      <family val="2"/>
    </font>
    <font>
      <sz val="8"/>
      <name val="Arial"/>
      <family val="2"/>
    </font>
    <font>
      <b/>
      <i/>
      <sz val="8"/>
      <name val="Arial"/>
      <family val="2"/>
    </font>
    <font>
      <sz val="8"/>
      <color rgb="FFFF0000"/>
      <name val="Arial"/>
      <family val="2"/>
    </font>
    <font>
      <sz val="7"/>
      <color rgb="FF000000"/>
      <name val="Arial"/>
      <family val="2"/>
    </font>
    <font>
      <i/>
      <sz val="7"/>
      <color rgb="FF000000"/>
      <name val="Arial"/>
      <family val="2"/>
    </font>
    <font>
      <sz val="10"/>
      <color theme="4"/>
      <name val="Arial"/>
      <family val="2"/>
      <charset val="186"/>
    </font>
    <font>
      <i/>
      <sz val="6"/>
      <name val="Arial"/>
      <family val="2"/>
    </font>
    <font>
      <b/>
      <i/>
      <sz val="6"/>
      <name val="Arial"/>
      <family val="2"/>
    </font>
    <font>
      <sz val="10"/>
      <color theme="0"/>
      <name val="Arial"/>
      <family val="2"/>
    </font>
    <font>
      <sz val="7"/>
      <color theme="0"/>
      <name val="Arial"/>
      <family val="2"/>
    </font>
    <font>
      <sz val="8"/>
      <color theme="0"/>
      <name val="Arial"/>
      <family val="2"/>
    </font>
    <font>
      <sz val="9"/>
      <color rgb="FFFF0000"/>
      <name val="Arial"/>
      <family val="2"/>
    </font>
    <font>
      <b/>
      <sz val="9"/>
      <color rgb="FFFF0000"/>
      <name val="Arial"/>
      <family val="2"/>
    </font>
    <font>
      <b/>
      <sz val="9"/>
      <color rgb="FF000000"/>
      <name val="Arial"/>
      <family val="2"/>
    </font>
    <font>
      <b/>
      <sz val="9"/>
      <color indexed="10"/>
      <name val="Arial"/>
      <family val="2"/>
    </font>
    <font>
      <sz val="9"/>
      <color indexed="10"/>
      <name val="Arial"/>
      <family val="2"/>
    </font>
    <font>
      <sz val="9"/>
      <color rgb="FF000000"/>
      <name val="Arial"/>
      <family val="2"/>
    </font>
    <font>
      <sz val="9"/>
      <name val="Arial"/>
      <family val="2"/>
      <charset val="186"/>
    </font>
    <font>
      <b/>
      <sz val="9"/>
      <name val="Times New Roman"/>
      <family val="1"/>
      <charset val="186"/>
    </font>
    <font>
      <sz val="9"/>
      <color rgb="FFFF0000"/>
      <name val="Times New Roman"/>
      <family val="1"/>
      <charset val="186"/>
    </font>
    <font>
      <b/>
      <sz val="9"/>
      <color theme="1"/>
      <name val="Arial"/>
      <family val="2"/>
    </font>
    <font>
      <sz val="9"/>
      <name val="Times New Roman"/>
      <family val="1"/>
    </font>
    <font>
      <b/>
      <sz val="9"/>
      <color rgb="FF00B050"/>
      <name val="Arial"/>
      <family val="2"/>
    </font>
    <font>
      <sz val="9"/>
      <color theme="1"/>
      <name val="Arial"/>
      <family val="2"/>
    </font>
    <font>
      <sz val="9"/>
      <color rgb="FFFF0000"/>
      <name val="Arial"/>
      <family val="2"/>
      <charset val="186"/>
    </font>
    <font>
      <strike/>
      <sz val="9"/>
      <name val="Arial"/>
      <family val="2"/>
    </font>
    <font>
      <i/>
      <sz val="9"/>
      <name val="Arial"/>
      <family val="2"/>
    </font>
    <font>
      <b/>
      <sz val="9"/>
      <color rgb="FFFF0000"/>
      <name val="Arial"/>
      <family val="2"/>
      <charset val="186"/>
    </font>
    <font>
      <b/>
      <sz val="9"/>
      <name val="Arial"/>
      <family val="2"/>
      <charset val="186"/>
    </font>
    <font>
      <i/>
      <sz val="9"/>
      <color rgb="FFFF0000"/>
      <name val="Arial"/>
      <family val="2"/>
    </font>
    <font>
      <b/>
      <i/>
      <sz val="9"/>
      <color rgb="FFFF0000"/>
      <name val="Arial"/>
      <family val="2"/>
    </font>
    <font>
      <sz val="9"/>
      <color rgb="FF00B0F0"/>
      <name val="Arial"/>
      <family val="2"/>
    </font>
    <font>
      <sz val="9"/>
      <color theme="8"/>
      <name val="Arial"/>
      <family val="2"/>
    </font>
    <font>
      <b/>
      <i/>
      <sz val="9"/>
      <color rgb="FF00B050"/>
      <name val="Arial"/>
      <family val="2"/>
    </font>
    <font>
      <b/>
      <sz val="11"/>
      <color rgb="FFFF0000"/>
      <name val="Calibri"/>
      <family val="2"/>
    </font>
    <font>
      <b/>
      <i/>
      <sz val="9"/>
      <name val="Arial"/>
      <family val="2"/>
      <charset val="186"/>
    </font>
    <font>
      <i/>
      <sz val="9"/>
      <name val="Arial"/>
      <family val="2"/>
      <charset val="186"/>
    </font>
    <font>
      <b/>
      <i/>
      <sz val="9"/>
      <color rgb="FFFF0000"/>
      <name val="Arial"/>
      <family val="2"/>
      <charset val="186"/>
    </font>
    <font>
      <i/>
      <sz val="11"/>
      <color rgb="FF000000"/>
      <name val="Calibri"/>
      <family val="2"/>
      <charset val="186"/>
    </font>
    <font>
      <i/>
      <sz val="9"/>
      <color rgb="FFFF0000"/>
      <name val="Arial"/>
      <family val="2"/>
      <charset val="186"/>
    </font>
    <font>
      <i/>
      <sz val="10"/>
      <name val="Times New Roman"/>
      <family val="1"/>
      <charset val="186"/>
    </font>
    <font>
      <i/>
      <sz val="10"/>
      <name val="Arial"/>
      <family val="2"/>
      <charset val="186"/>
    </font>
    <font>
      <b/>
      <sz val="8"/>
      <color rgb="FFFF0000"/>
      <name val="Arial"/>
      <family val="2"/>
    </font>
    <font>
      <sz val="10"/>
      <color rgb="FF0070C0"/>
      <name val="Arial"/>
      <family val="2"/>
    </font>
    <font>
      <i/>
      <sz val="9"/>
      <name val="Times New Roman"/>
      <family val="1"/>
      <charset val="186"/>
    </font>
    <font>
      <i/>
      <sz val="9"/>
      <color rgb="FFFF0000"/>
      <name val="Times New Roman"/>
      <family val="1"/>
      <charset val="186"/>
    </font>
    <font>
      <i/>
      <sz val="8"/>
      <name val="Arial"/>
      <family val="2"/>
    </font>
    <font>
      <b/>
      <i/>
      <sz val="9"/>
      <color rgb="FF000000"/>
      <name val="Arial"/>
      <family val="2"/>
    </font>
    <font>
      <b/>
      <sz val="12"/>
      <name val="Arial"/>
      <family val="2"/>
    </font>
    <font>
      <strike/>
      <sz val="9"/>
      <color rgb="FFFF0000"/>
      <name val="Arial"/>
      <family val="2"/>
    </font>
    <font>
      <b/>
      <sz val="9"/>
      <name val="Ariel"/>
      <charset val="186"/>
    </font>
    <font>
      <sz val="9"/>
      <name val="Ariel"/>
      <charset val="186"/>
    </font>
    <font>
      <b/>
      <i/>
      <sz val="9"/>
      <color rgb="FF000000"/>
      <name val="Ariel"/>
      <charset val="186"/>
    </font>
    <font>
      <b/>
      <i/>
      <sz val="9"/>
      <color indexed="23"/>
      <name val="Ariel"/>
      <charset val="186"/>
    </font>
    <font>
      <b/>
      <i/>
      <sz val="9"/>
      <color indexed="8"/>
      <name val="Ariel"/>
      <charset val="186"/>
    </font>
    <font>
      <sz val="9"/>
      <color rgb="FF000000"/>
      <name val="Ariel"/>
      <charset val="186"/>
    </font>
    <font>
      <i/>
      <sz val="9"/>
      <color indexed="23"/>
      <name val="Ariel"/>
      <charset val="186"/>
    </font>
    <font>
      <i/>
      <sz val="9"/>
      <color indexed="23"/>
      <name val="Arial"/>
      <family val="2"/>
    </font>
    <font>
      <sz val="9"/>
      <color rgb="FF222222"/>
      <name val="Arial"/>
      <family val="2"/>
    </font>
    <font>
      <b/>
      <i/>
      <sz val="9"/>
      <color indexed="63"/>
      <name val="Arial"/>
      <family val="2"/>
    </font>
    <font>
      <sz val="9"/>
      <color indexed="63"/>
      <name val="Arial"/>
      <family val="2"/>
    </font>
    <font>
      <sz val="9"/>
      <color indexed="23"/>
      <name val="Arial"/>
      <family val="2"/>
    </font>
    <font>
      <sz val="9"/>
      <color indexed="8"/>
      <name val="Arial"/>
      <family val="2"/>
    </font>
    <font>
      <sz val="10"/>
      <name val="Times New Roman"/>
      <family val="1"/>
    </font>
  </fonts>
  <fills count="43">
    <fill>
      <patternFill patternType="none"/>
    </fill>
    <fill>
      <patternFill patternType="gray125"/>
    </fill>
    <fill>
      <patternFill patternType="solid">
        <fgColor indexed="42"/>
        <bgColor indexed="41"/>
      </patternFill>
    </fill>
    <fill>
      <patternFill patternType="solid">
        <fgColor indexed="22"/>
        <bgColor indexed="31"/>
      </patternFill>
    </fill>
    <fill>
      <patternFill patternType="solid">
        <fgColor indexed="9"/>
        <bgColor indexed="26"/>
      </patternFill>
    </fill>
    <fill>
      <patternFill patternType="solid">
        <fgColor indexed="44"/>
        <bgColor indexed="22"/>
      </patternFill>
    </fill>
    <fill>
      <patternFill patternType="solid">
        <fgColor indexed="13"/>
        <bgColor indexed="34"/>
      </patternFill>
    </fill>
    <fill>
      <patternFill patternType="solid">
        <fgColor indexed="42"/>
        <bgColor indexed="64"/>
      </patternFill>
    </fill>
    <fill>
      <patternFill patternType="solid">
        <fgColor indexed="45"/>
        <bgColor indexed="29"/>
      </patternFill>
    </fill>
    <fill>
      <patternFill patternType="solid">
        <fgColor indexed="9"/>
        <bgColor indexed="64"/>
      </patternFill>
    </fill>
    <fill>
      <patternFill patternType="solid">
        <fgColor indexed="44"/>
        <bgColor indexed="64"/>
      </patternFill>
    </fill>
    <fill>
      <patternFill patternType="solid">
        <fgColor rgb="FFFFFF00"/>
        <bgColor indexed="64"/>
      </patternFill>
    </fill>
    <fill>
      <patternFill patternType="solid">
        <fgColor rgb="FFFF99CC"/>
        <bgColor indexed="64"/>
      </patternFill>
    </fill>
    <fill>
      <patternFill patternType="solid">
        <fgColor rgb="FF99CCFF"/>
        <bgColor indexed="64"/>
      </patternFill>
    </fill>
    <fill>
      <patternFill patternType="solid">
        <fgColor rgb="FFCCFFCC"/>
        <bgColor indexed="64"/>
      </patternFill>
    </fill>
    <fill>
      <patternFill patternType="solid">
        <fgColor rgb="FFFFFFFF"/>
        <bgColor indexed="64"/>
      </patternFill>
    </fill>
    <fill>
      <patternFill patternType="solid">
        <fgColor rgb="FFDBE5F1"/>
        <bgColor indexed="64"/>
      </patternFill>
    </fill>
    <fill>
      <patternFill patternType="solid">
        <fgColor theme="8" tint="0.79998168889431442"/>
        <bgColor indexed="64"/>
      </patternFill>
    </fill>
    <fill>
      <patternFill patternType="solid">
        <fgColor theme="8" tint="0.79998168889431442"/>
        <bgColor indexed="26"/>
      </patternFill>
    </fill>
    <fill>
      <patternFill patternType="solid">
        <fgColor theme="0" tint="-0.14999847407452621"/>
        <bgColor indexed="64"/>
      </patternFill>
    </fill>
    <fill>
      <patternFill patternType="solid">
        <fgColor theme="8"/>
        <bgColor indexed="64"/>
      </patternFill>
    </fill>
    <fill>
      <patternFill patternType="solid">
        <fgColor theme="4" tint="0.79998168889431442"/>
        <bgColor indexed="64"/>
      </patternFill>
    </fill>
    <fill>
      <patternFill patternType="solid">
        <fgColor theme="4" tint="0.79998168889431442"/>
        <bgColor indexed="26"/>
      </patternFill>
    </fill>
    <fill>
      <patternFill patternType="solid">
        <fgColor theme="9" tint="0.79998168889431442"/>
        <bgColor indexed="64"/>
      </patternFill>
    </fill>
    <fill>
      <patternFill patternType="solid">
        <fgColor rgb="FF92D050"/>
        <bgColor indexed="64"/>
      </patternFill>
    </fill>
    <fill>
      <patternFill patternType="solid">
        <fgColor theme="6" tint="0.59999389629810485"/>
        <bgColor indexed="64"/>
      </patternFill>
    </fill>
    <fill>
      <patternFill patternType="solid">
        <fgColor theme="6" tint="0.59999389629810485"/>
        <bgColor indexed="26"/>
      </patternFill>
    </fill>
    <fill>
      <patternFill patternType="solid">
        <fgColor theme="8" tint="0.59999389629810485"/>
        <bgColor indexed="26"/>
      </patternFill>
    </fill>
    <fill>
      <patternFill patternType="solid">
        <fgColor theme="8" tint="0.59999389629810485"/>
        <bgColor indexed="64"/>
      </patternFill>
    </fill>
    <fill>
      <patternFill patternType="solid">
        <fgColor theme="6" tint="0.79998168889431442"/>
        <bgColor indexed="64"/>
      </patternFill>
    </fill>
    <fill>
      <patternFill patternType="solid">
        <fgColor theme="6" tint="0.79998168889431442"/>
        <bgColor indexed="26"/>
      </patternFill>
    </fill>
    <fill>
      <patternFill patternType="solid">
        <fgColor theme="6" tint="0.79998168889431442"/>
        <bgColor indexed="9"/>
      </patternFill>
    </fill>
    <fill>
      <patternFill patternType="solid">
        <fgColor theme="6" tint="0.79998168889431442"/>
        <bgColor indexed="31"/>
      </patternFill>
    </fill>
    <fill>
      <patternFill patternType="solid">
        <fgColor theme="9" tint="-0.249977111117893"/>
        <bgColor indexed="64"/>
      </patternFill>
    </fill>
    <fill>
      <patternFill patternType="solid">
        <fgColor theme="0"/>
        <bgColor indexed="64"/>
      </patternFill>
    </fill>
    <fill>
      <patternFill patternType="solid">
        <fgColor theme="5" tint="0.39997558519241921"/>
        <bgColor indexed="64"/>
      </patternFill>
    </fill>
    <fill>
      <patternFill patternType="solid">
        <fgColor theme="5" tint="0.39997558519241921"/>
        <bgColor indexed="26"/>
      </patternFill>
    </fill>
    <fill>
      <patternFill patternType="solid">
        <fgColor theme="5" tint="0.59999389629810485"/>
        <bgColor indexed="64"/>
      </patternFill>
    </fill>
    <fill>
      <patternFill patternType="solid">
        <fgColor rgb="FFFFC000"/>
        <bgColor indexed="31"/>
      </patternFill>
    </fill>
    <fill>
      <patternFill patternType="solid">
        <fgColor rgb="FF00B0F0"/>
        <bgColor indexed="64"/>
      </patternFill>
    </fill>
    <fill>
      <patternFill patternType="solid">
        <fgColor theme="6" tint="0.39997558519241921"/>
        <bgColor indexed="9"/>
      </patternFill>
    </fill>
    <fill>
      <patternFill patternType="solid">
        <fgColor theme="6" tint="0.39997558519241921"/>
        <bgColor indexed="64"/>
      </patternFill>
    </fill>
    <fill>
      <patternFill patternType="solid">
        <fgColor theme="6" tint="0.39997558519241921"/>
        <bgColor indexed="26"/>
      </patternFill>
    </fill>
  </fills>
  <borders count="115">
    <border>
      <left/>
      <right/>
      <top/>
      <bottom/>
      <diagonal/>
    </border>
    <border>
      <left/>
      <right/>
      <top/>
      <bottom style="thick">
        <color indexed="22"/>
      </bottom>
      <diagonal/>
    </border>
    <border>
      <left/>
      <right/>
      <top/>
      <bottom style="thick">
        <color indexed="6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hair">
        <color indexed="8"/>
      </bottom>
      <diagonal/>
    </border>
    <border>
      <left style="thin">
        <color indexed="64"/>
      </left>
      <right style="thin">
        <color indexed="8"/>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style="thin">
        <color indexed="64"/>
      </top>
      <bottom style="thin">
        <color indexed="64"/>
      </bottom>
      <diagonal/>
    </border>
    <border>
      <left style="thin">
        <color indexed="8"/>
      </left>
      <right style="thin">
        <color indexed="8"/>
      </right>
      <top/>
      <bottom/>
      <diagonal/>
    </border>
    <border>
      <left style="thin">
        <color indexed="64"/>
      </left>
      <right style="thin">
        <color indexed="64"/>
      </right>
      <top style="thin">
        <color indexed="64"/>
      </top>
      <bottom/>
      <diagonal/>
    </border>
    <border>
      <left style="thin">
        <color indexed="8"/>
      </left>
      <right style="thin">
        <color indexed="8"/>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8"/>
      </bottom>
      <diagonal/>
    </border>
    <border>
      <left style="thin">
        <color indexed="8"/>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8"/>
      </left>
      <right/>
      <top style="thin">
        <color indexed="8"/>
      </top>
      <bottom/>
      <diagonal/>
    </border>
    <border>
      <left/>
      <right style="thin">
        <color indexed="8"/>
      </right>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8"/>
      </right>
      <top style="thin">
        <color indexed="8"/>
      </top>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8"/>
      </top>
      <bottom style="thin">
        <color indexed="8"/>
      </bottom>
      <diagonal/>
    </border>
    <border>
      <left style="thin">
        <color indexed="64"/>
      </left>
      <right style="thin">
        <color indexed="8"/>
      </right>
      <top style="thin">
        <color indexed="64"/>
      </top>
      <bottom style="thin">
        <color indexed="64"/>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8"/>
      </top>
      <bottom style="thin">
        <color indexed="8"/>
      </bottom>
      <diagonal/>
    </border>
    <border>
      <left style="thin">
        <color indexed="64"/>
      </left>
      <right style="thin">
        <color indexed="64"/>
      </right>
      <top style="thin">
        <color indexed="8"/>
      </top>
      <bottom/>
      <diagonal/>
    </border>
    <border>
      <left style="thin">
        <color indexed="64"/>
      </left>
      <right style="thin">
        <color indexed="64"/>
      </right>
      <top/>
      <bottom style="thin">
        <color indexed="8"/>
      </bottom>
      <diagonal/>
    </border>
    <border>
      <left/>
      <right style="medium">
        <color indexed="8"/>
      </right>
      <top/>
      <bottom style="medium">
        <color indexed="8"/>
      </bottom>
      <diagonal/>
    </border>
    <border>
      <left/>
      <right style="medium">
        <color indexed="8"/>
      </right>
      <top/>
      <bottom/>
      <diagonal/>
    </border>
    <border>
      <left/>
      <right/>
      <top style="thin">
        <color indexed="8"/>
      </top>
      <bottom/>
      <diagonal/>
    </border>
    <border>
      <left/>
      <right/>
      <top/>
      <bottom style="medium">
        <color indexed="8"/>
      </bottom>
      <diagonal/>
    </border>
    <border>
      <left/>
      <right style="thin">
        <color indexed="8"/>
      </right>
      <top/>
      <bottom/>
      <diagonal/>
    </border>
    <border>
      <left style="medium">
        <color indexed="64"/>
      </left>
      <right/>
      <top/>
      <bottom style="medium">
        <color indexed="64"/>
      </bottom>
      <diagonal/>
    </border>
    <border>
      <left style="medium">
        <color indexed="64"/>
      </left>
      <right/>
      <top/>
      <bottom/>
      <diagonal/>
    </border>
    <border>
      <left/>
      <right style="thin">
        <color indexed="64"/>
      </right>
      <top/>
      <bottom/>
      <diagonal/>
    </border>
    <border>
      <left style="thin">
        <color indexed="8"/>
      </left>
      <right style="thin">
        <color indexed="8"/>
      </right>
      <top style="thin">
        <color indexed="64"/>
      </top>
      <bottom/>
      <diagonal/>
    </border>
    <border>
      <left style="thin">
        <color indexed="8"/>
      </left>
      <right/>
      <top style="thin">
        <color indexed="8"/>
      </top>
      <bottom style="thin">
        <color indexed="64"/>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8"/>
      </right>
      <top style="thin">
        <color indexed="8"/>
      </top>
      <bottom style="thin">
        <color indexed="64"/>
      </bottom>
      <diagonal/>
    </border>
    <border>
      <left style="thin">
        <color indexed="8"/>
      </left>
      <right/>
      <top style="thin">
        <color indexed="64"/>
      </top>
      <bottom style="thin">
        <color indexed="64"/>
      </bottom>
      <diagonal/>
    </border>
    <border>
      <left style="thin">
        <color indexed="8"/>
      </left>
      <right/>
      <top style="thin">
        <color indexed="64"/>
      </top>
      <bottom style="thin">
        <color indexed="8"/>
      </bottom>
      <diagonal/>
    </border>
    <border>
      <left style="thin">
        <color indexed="64"/>
      </left>
      <right/>
      <top/>
      <bottom/>
      <diagonal/>
    </border>
    <border>
      <left style="thin">
        <color indexed="64"/>
      </left>
      <right style="thin">
        <color indexed="8"/>
      </right>
      <top style="thin">
        <color indexed="64"/>
      </top>
      <bottom/>
      <diagonal/>
    </border>
    <border>
      <left style="thin">
        <color indexed="8"/>
      </left>
      <right/>
      <top style="thin">
        <color indexed="64"/>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theme="4"/>
      </top>
      <bottom/>
      <diagonal/>
    </border>
    <border>
      <left/>
      <right style="thin">
        <color theme="4"/>
      </right>
      <top/>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thin">
        <color indexed="8"/>
      </left>
      <right style="thin">
        <color indexed="64"/>
      </right>
      <top style="thin">
        <color indexed="64"/>
      </top>
      <bottom/>
      <diagonal/>
    </border>
    <border>
      <left style="thin">
        <color indexed="8"/>
      </left>
      <right style="thin">
        <color indexed="64"/>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diagonal/>
    </border>
    <border>
      <left style="thin">
        <color indexed="8"/>
      </left>
      <right/>
      <top/>
      <bottom style="thin">
        <color indexed="64"/>
      </bottom>
      <diagonal/>
    </border>
    <border>
      <left style="thin">
        <color indexed="8"/>
      </left>
      <right style="thin">
        <color indexed="8"/>
      </right>
      <top/>
      <bottom style="thin">
        <color indexed="64"/>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64"/>
      </left>
      <right style="thin">
        <color indexed="8"/>
      </right>
      <top/>
      <bottom style="thin">
        <color indexed="64"/>
      </bottom>
      <diagonal/>
    </border>
    <border>
      <left style="thin">
        <color indexed="64"/>
      </left>
      <right style="thin">
        <color indexed="8"/>
      </right>
      <top/>
      <bottom/>
      <diagonal/>
    </border>
    <border>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top style="thin">
        <color indexed="8"/>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indexed="8"/>
      </right>
      <top style="thin">
        <color indexed="64"/>
      </top>
      <bottom style="thin">
        <color indexed="64"/>
      </bottom>
      <diagonal/>
    </border>
    <border>
      <left style="thin">
        <color theme="1"/>
      </left>
      <right style="thin">
        <color theme="1"/>
      </right>
      <top/>
      <bottom style="thin">
        <color theme="1"/>
      </bottom>
      <diagonal/>
    </border>
    <border>
      <left style="thin">
        <color theme="1"/>
      </left>
      <right/>
      <top style="thin">
        <color theme="1"/>
      </top>
      <bottom style="thin">
        <color theme="1"/>
      </bottom>
      <diagonal/>
    </border>
    <border>
      <left style="medium">
        <color theme="4"/>
      </left>
      <right/>
      <top style="medium">
        <color theme="4"/>
      </top>
      <bottom style="medium">
        <color theme="4"/>
      </bottom>
      <diagonal/>
    </border>
    <border>
      <left/>
      <right/>
      <top style="medium">
        <color theme="4"/>
      </top>
      <bottom style="medium">
        <color theme="4"/>
      </bottom>
      <diagonal/>
    </border>
    <border>
      <left/>
      <right style="medium">
        <color theme="4"/>
      </right>
      <top style="medium">
        <color theme="4"/>
      </top>
      <bottom style="medium">
        <color theme="4"/>
      </bottom>
      <diagonal/>
    </border>
    <border>
      <left style="medium">
        <color theme="4"/>
      </left>
      <right style="medium">
        <color theme="4"/>
      </right>
      <top style="medium">
        <color theme="4"/>
      </top>
      <bottom style="medium">
        <color theme="4"/>
      </bottom>
      <diagonal/>
    </border>
    <border>
      <left style="medium">
        <color theme="4"/>
      </left>
      <right/>
      <top style="medium">
        <color indexed="64"/>
      </top>
      <bottom style="medium">
        <color indexed="64"/>
      </bottom>
      <diagonal/>
    </border>
    <border>
      <left/>
      <right style="medium">
        <color theme="4"/>
      </right>
      <top style="medium">
        <color indexed="64"/>
      </top>
      <bottom style="medium">
        <color indexed="64"/>
      </bottom>
      <diagonal/>
    </border>
    <border>
      <left/>
      <right style="medium">
        <color theme="4"/>
      </right>
      <top style="thin">
        <color indexed="64"/>
      </top>
      <bottom style="thin">
        <color indexed="64"/>
      </bottom>
      <diagonal/>
    </border>
    <border>
      <left/>
      <right style="thin">
        <color theme="1"/>
      </right>
      <top style="thin">
        <color theme="1"/>
      </top>
      <bottom style="thin">
        <color theme="1"/>
      </bottom>
      <diagonal/>
    </border>
  </borders>
  <cellStyleXfs count="23">
    <xf numFmtId="0" fontId="0" fillId="0" borderId="0"/>
    <xf numFmtId="164" fontId="40" fillId="0" borderId="0" applyFill="0" applyBorder="0" applyAlignment="0" applyProtection="0"/>
    <xf numFmtId="165" fontId="1" fillId="0" borderId="0"/>
    <xf numFmtId="0" fontId="1" fillId="0" borderId="0"/>
    <xf numFmtId="0" fontId="2" fillId="0" borderId="0" applyNumberFormat="0" applyFill="0" applyBorder="0" applyAlignment="0" applyProtection="0"/>
    <xf numFmtId="0" fontId="3" fillId="2" borderId="0" applyNumberFormat="0" applyBorder="0" applyAlignment="0" applyProtection="0"/>
    <xf numFmtId="0" fontId="4" fillId="0" borderId="2" applyNumberFormat="0" applyFill="0" applyAlignment="0" applyProtection="0"/>
    <xf numFmtId="0" fontId="5" fillId="0" borderId="1"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40" fillId="0" borderId="0"/>
    <xf numFmtId="0" fontId="1" fillId="0" borderId="0"/>
    <xf numFmtId="0" fontId="7" fillId="0" borderId="0"/>
    <xf numFmtId="0" fontId="8" fillId="3" borderId="4" applyNumberFormat="0" applyAlignment="0" applyProtection="0"/>
    <xf numFmtId="0" fontId="40" fillId="0" borderId="0">
      <protection locked="0"/>
    </xf>
    <xf numFmtId="0" fontId="40" fillId="0" borderId="0">
      <protection locked="0"/>
    </xf>
    <xf numFmtId="0" fontId="40" fillId="0" borderId="0"/>
    <xf numFmtId="0" fontId="9" fillId="0" borderId="0" applyNumberFormat="0" applyFill="0" applyBorder="0" applyAlignment="0" applyProtection="0"/>
    <xf numFmtId="0" fontId="10" fillId="0" borderId="5" applyNumberFormat="0" applyFill="0" applyAlignment="0" applyProtection="0"/>
    <xf numFmtId="0" fontId="11" fillId="0" borderId="0" applyNumberFormat="0" applyFill="0" applyBorder="0" applyAlignment="0" applyProtection="0"/>
    <xf numFmtId="0" fontId="66" fillId="0" borderId="0"/>
    <xf numFmtId="43" fontId="40" fillId="0" borderId="0" applyFont="0" applyFill="0" applyBorder="0" applyAlignment="0" applyProtection="0"/>
    <xf numFmtId="9" fontId="40" fillId="0" borderId="0" applyFont="0" applyFill="0" applyBorder="0" applyAlignment="0" applyProtection="0"/>
  </cellStyleXfs>
  <cellXfs count="2433">
    <xf numFmtId="0" fontId="0" fillId="0" borderId="0" xfId="0"/>
    <xf numFmtId="0" fontId="12" fillId="0" borderId="0" xfId="0" applyFont="1"/>
    <xf numFmtId="0" fontId="31" fillId="0" borderId="0" xfId="0" applyFont="1" applyAlignment="1">
      <alignment horizontal="center"/>
    </xf>
    <xf numFmtId="0" fontId="0" fillId="0" borderId="12" xfId="0" applyBorder="1"/>
    <xf numFmtId="0" fontId="32" fillId="0" borderId="6" xfId="0" applyFont="1" applyBorder="1" applyAlignment="1">
      <alignment horizontal="center" vertical="center" wrapText="1"/>
    </xf>
    <xf numFmtId="0" fontId="0" fillId="0" borderId="6" xfId="0" applyBorder="1" applyAlignment="1">
      <alignment wrapText="1"/>
    </xf>
    <xf numFmtId="0" fontId="34" fillId="0" borderId="6" xfId="0" applyFont="1" applyBorder="1" applyAlignment="1">
      <alignment horizontal="center" wrapText="1"/>
    </xf>
    <xf numFmtId="0" fontId="32" fillId="0" borderId="6" xfId="0" applyFont="1" applyBorder="1" applyAlignment="1">
      <alignment horizontal="center" wrapText="1"/>
    </xf>
    <xf numFmtId="0" fontId="14" fillId="0" borderId="6" xfId="0" applyFont="1" applyBorder="1" applyAlignment="1">
      <alignment horizontal="left" wrapText="1"/>
    </xf>
    <xf numFmtId="0" fontId="16" fillId="0" borderId="6" xfId="0" applyFont="1" applyBorder="1" applyAlignment="1">
      <alignment horizontal="center" wrapText="1"/>
    </xf>
    <xf numFmtId="14" fontId="14" fillId="0" borderId="6" xfId="0" applyNumberFormat="1" applyFont="1" applyBorder="1" applyAlignment="1">
      <alignment horizontal="left" wrapText="1"/>
    </xf>
    <xf numFmtId="49" fontId="14" fillId="2" borderId="6" xfId="0" applyNumberFormat="1" applyFont="1" applyFill="1" applyBorder="1" applyAlignment="1">
      <alignment vertical="top"/>
    </xf>
    <xf numFmtId="49" fontId="14" fillId="2" borderId="6" xfId="0" applyNumberFormat="1" applyFont="1" applyFill="1" applyBorder="1" applyAlignment="1">
      <alignment vertical="top" wrapText="1"/>
    </xf>
    <xf numFmtId="168" fontId="16" fillId="0" borderId="6" xfId="0" applyNumberFormat="1" applyFont="1" applyBorder="1" applyAlignment="1">
      <alignment horizontal="center" vertical="center"/>
    </xf>
    <xf numFmtId="0" fontId="14" fillId="0" borderId="6" xfId="0" applyFont="1" applyBorder="1" applyAlignment="1">
      <alignment horizontal="justify" wrapText="1"/>
    </xf>
    <xf numFmtId="0" fontId="35" fillId="0" borderId="6" xfId="0" applyFont="1" applyBorder="1" applyAlignment="1">
      <alignment horizontal="center" vertical="center" wrapText="1"/>
    </xf>
    <xf numFmtId="49" fontId="25" fillId="2" borderId="6" xfId="0" applyNumberFormat="1" applyFont="1" applyFill="1" applyBorder="1" applyAlignment="1">
      <alignment vertical="top" wrapText="1"/>
    </xf>
    <xf numFmtId="49" fontId="18" fillId="0" borderId="6" xfId="0" applyNumberFormat="1" applyFont="1" applyBorder="1" applyAlignment="1">
      <alignment vertical="top" wrapText="1"/>
    </xf>
    <xf numFmtId="0" fontId="21" fillId="0" borderId="6" xfId="0" applyFont="1" applyBorder="1" applyAlignment="1">
      <alignment wrapText="1"/>
    </xf>
    <xf numFmtId="0" fontId="28" fillId="0" borderId="6" xfId="0" applyFont="1" applyBorder="1" applyAlignment="1">
      <alignment horizontal="center" wrapText="1"/>
    </xf>
    <xf numFmtId="49" fontId="18" fillId="4" borderId="6" xfId="0" applyNumberFormat="1" applyFont="1" applyFill="1" applyBorder="1" applyAlignment="1">
      <alignment vertical="top" wrapText="1"/>
    </xf>
    <xf numFmtId="0" fontId="0" fillId="0" borderId="0" xfId="0" applyAlignment="1">
      <alignment wrapText="1"/>
    </xf>
    <xf numFmtId="49" fontId="14" fillId="2" borderId="6" xfId="0" applyNumberFormat="1" applyFont="1" applyFill="1" applyBorder="1" applyAlignment="1">
      <alignment horizontal="justify" vertical="top" wrapText="1"/>
    </xf>
    <xf numFmtId="0" fontId="14" fillId="0" borderId="6" xfId="0" applyFont="1" applyBorder="1" applyAlignment="1">
      <alignment wrapText="1"/>
    </xf>
    <xf numFmtId="0" fontId="14" fillId="0" borderId="6" xfId="0" applyFont="1" applyBorder="1" applyAlignment="1">
      <alignment horizontal="center" wrapText="1"/>
    </xf>
    <xf numFmtId="0" fontId="27" fillId="0" borderId="6" xfId="0" applyFont="1" applyBorder="1" applyAlignment="1">
      <alignment horizontal="center" wrapText="1"/>
    </xf>
    <xf numFmtId="0" fontId="0" fillId="0" borderId="0" xfId="0" applyAlignment="1">
      <alignment horizontal="center"/>
    </xf>
    <xf numFmtId="49" fontId="18" fillId="2" borderId="6" xfId="0" applyNumberFormat="1" applyFont="1" applyFill="1" applyBorder="1" applyAlignment="1">
      <alignment vertical="top" wrapText="1"/>
    </xf>
    <xf numFmtId="0" fontId="31" fillId="0" borderId="0" xfId="0" applyFont="1" applyAlignment="1">
      <alignment horizontal="right"/>
    </xf>
    <xf numFmtId="0" fontId="38" fillId="0" borderId="0" xfId="0" applyFont="1" applyAlignment="1">
      <alignment horizontal="center" wrapText="1"/>
    </xf>
    <xf numFmtId="14" fontId="14" fillId="7" borderId="6" xfId="0" applyNumberFormat="1" applyFont="1" applyFill="1" applyBorder="1" applyAlignment="1">
      <alignment horizontal="left" wrapText="1"/>
    </xf>
    <xf numFmtId="0" fontId="40" fillId="0" borderId="0" xfId="0" applyFont="1"/>
    <xf numFmtId="0" fontId="20" fillId="0" borderId="6" xfId="0" applyFont="1" applyBorder="1" applyAlignment="1">
      <alignment horizontal="center" wrapText="1"/>
    </xf>
    <xf numFmtId="0" fontId="40" fillId="0" borderId="6" xfId="0" applyFont="1" applyBorder="1" applyAlignment="1">
      <alignment wrapText="1"/>
    </xf>
    <xf numFmtId="0" fontId="34" fillId="0" borderId="6" xfId="0" applyFont="1" applyBorder="1" applyAlignment="1">
      <alignment horizontal="center" vertical="center" wrapText="1"/>
    </xf>
    <xf numFmtId="0" fontId="14" fillId="0" borderId="6" xfId="0" applyFont="1" applyBorder="1" applyAlignment="1">
      <alignment horizontal="center" vertical="center" wrapText="1"/>
    </xf>
    <xf numFmtId="49" fontId="41" fillId="2" borderId="6" xfId="0" applyNumberFormat="1" applyFont="1" applyFill="1" applyBorder="1" applyAlignment="1">
      <alignment vertical="top" wrapText="1"/>
    </xf>
    <xf numFmtId="0" fontId="42" fillId="0" borderId="6" xfId="0" applyFont="1" applyBorder="1"/>
    <xf numFmtId="0" fontId="0" fillId="9" borderId="0" xfId="0" applyFill="1"/>
    <xf numFmtId="0" fontId="43" fillId="0" borderId="0" xfId="0" applyFont="1" applyAlignment="1">
      <alignment horizontal="center"/>
    </xf>
    <xf numFmtId="0" fontId="44" fillId="0" borderId="6" xfId="0" applyFont="1" applyBorder="1" applyAlignment="1">
      <alignment horizontal="center" wrapText="1"/>
    </xf>
    <xf numFmtId="0" fontId="33" fillId="0" borderId="6" xfId="0" applyFont="1" applyBorder="1" applyAlignment="1">
      <alignment horizontal="center" wrapText="1"/>
    </xf>
    <xf numFmtId="0" fontId="28" fillId="0" borderId="6" xfId="0" applyFont="1" applyBorder="1" applyAlignment="1">
      <alignment horizontal="center" vertical="center" wrapText="1"/>
    </xf>
    <xf numFmtId="49" fontId="14" fillId="2" borderId="7" xfId="0" applyNumberFormat="1" applyFont="1" applyFill="1" applyBorder="1" applyAlignment="1">
      <alignment vertical="top" wrapText="1"/>
    </xf>
    <xf numFmtId="49" fontId="14" fillId="2" borderId="20" xfId="0" applyNumberFormat="1" applyFont="1" applyFill="1" applyBorder="1" applyAlignment="1">
      <alignment vertical="top" wrapText="1"/>
    </xf>
    <xf numFmtId="0" fontId="44" fillId="0" borderId="6" xfId="0" applyFont="1" applyBorder="1" applyAlignment="1">
      <alignment horizontal="center" vertical="center" wrapText="1"/>
    </xf>
    <xf numFmtId="0" fontId="48" fillId="0" borderId="6" xfId="0" applyFont="1" applyBorder="1" applyAlignment="1">
      <alignment horizontal="center" wrapText="1"/>
    </xf>
    <xf numFmtId="0" fontId="49" fillId="0" borderId="6" xfId="0" applyFont="1" applyBorder="1" applyAlignment="1">
      <alignment horizontal="center" wrapText="1"/>
    </xf>
    <xf numFmtId="0" fontId="47" fillId="0" borderId="6" xfId="0" applyFont="1" applyBorder="1" applyAlignment="1">
      <alignment horizontal="center" wrapText="1"/>
    </xf>
    <xf numFmtId="49" fontId="24" fillId="2" borderId="6" xfId="0" applyNumberFormat="1" applyFont="1" applyFill="1" applyBorder="1" applyAlignment="1">
      <alignment vertical="top"/>
    </xf>
    <xf numFmtId="0" fontId="12" fillId="0" borderId="6" xfId="0" applyFont="1" applyBorder="1" applyAlignment="1">
      <alignment wrapText="1"/>
    </xf>
    <xf numFmtId="49" fontId="14" fillId="0" borderId="6" xfId="0" applyNumberFormat="1" applyFont="1" applyBorder="1" applyAlignment="1">
      <alignment vertical="top" wrapText="1"/>
    </xf>
    <xf numFmtId="0" fontId="14" fillId="7" borderId="14" xfId="0" applyFont="1" applyFill="1" applyBorder="1" applyAlignment="1">
      <alignment vertical="top" wrapText="1"/>
    </xf>
    <xf numFmtId="0" fontId="14" fillId="0" borderId="14" xfId="0" applyFont="1" applyBorder="1" applyAlignment="1">
      <alignment horizontal="center" wrapText="1"/>
    </xf>
    <xf numFmtId="0" fontId="16" fillId="0" borderId="14" xfId="0" applyFont="1" applyBorder="1" applyAlignment="1">
      <alignment horizontal="center" wrapText="1"/>
    </xf>
    <xf numFmtId="0" fontId="45" fillId="0" borderId="0" xfId="0" applyFont="1"/>
    <xf numFmtId="0" fontId="52" fillId="0" borderId="0" xfId="0" applyFont="1"/>
    <xf numFmtId="0" fontId="53" fillId="0" borderId="0" xfId="0" applyFont="1"/>
    <xf numFmtId="0" fontId="51" fillId="0" borderId="14" xfId="0" applyFont="1" applyBorder="1"/>
    <xf numFmtId="166" fontId="52" fillId="0" borderId="14" xfId="0" applyNumberFormat="1" applyFont="1" applyBorder="1"/>
    <xf numFmtId="166" fontId="53" fillId="0" borderId="14" xfId="0" applyNumberFormat="1" applyFont="1" applyBorder="1" applyAlignment="1">
      <alignment horizontal="left"/>
    </xf>
    <xf numFmtId="166" fontId="51" fillId="0" borderId="14" xfId="0" applyNumberFormat="1" applyFont="1" applyBorder="1"/>
    <xf numFmtId="0" fontId="52" fillId="0" borderId="14" xfId="0" applyFont="1" applyBorder="1" applyAlignment="1">
      <alignment horizontal="center"/>
    </xf>
    <xf numFmtId="0" fontId="51" fillId="0" borderId="14" xfId="0" applyFont="1" applyBorder="1" applyAlignment="1">
      <alignment wrapText="1"/>
    </xf>
    <xf numFmtId="166" fontId="51" fillId="0" borderId="19" xfId="0" applyNumberFormat="1" applyFont="1" applyBorder="1"/>
    <xf numFmtId="166" fontId="51" fillId="0" borderId="25" xfId="0" applyNumberFormat="1" applyFont="1" applyBorder="1"/>
    <xf numFmtId="2" fontId="53" fillId="0" borderId="14" xfId="0" applyNumberFormat="1" applyFont="1" applyBorder="1"/>
    <xf numFmtId="2" fontId="54" fillId="0" borderId="25" xfId="0" applyNumberFormat="1" applyFont="1" applyBorder="1"/>
    <xf numFmtId="49" fontId="18" fillId="2" borderId="9" xfId="0" applyNumberFormat="1" applyFont="1" applyFill="1" applyBorder="1" applyAlignment="1">
      <alignment vertical="top" wrapText="1"/>
    </xf>
    <xf numFmtId="0" fontId="41" fillId="0" borderId="0" xfId="0" applyFont="1" applyAlignment="1">
      <alignment horizontal="center" wrapText="1"/>
    </xf>
    <xf numFmtId="49" fontId="18" fillId="0" borderId="9" xfId="0" applyNumberFormat="1" applyFont="1" applyBorder="1" applyAlignment="1">
      <alignment vertical="top" wrapText="1"/>
    </xf>
    <xf numFmtId="49" fontId="18" fillId="0" borderId="9" xfId="0" applyNumberFormat="1" applyFont="1" applyBorder="1" applyAlignment="1">
      <alignment vertical="center" wrapText="1"/>
    </xf>
    <xf numFmtId="0" fontId="44" fillId="0" borderId="0" xfId="0" applyFont="1" applyAlignment="1">
      <alignment horizontal="center" wrapText="1"/>
    </xf>
    <xf numFmtId="0" fontId="32" fillId="0" borderId="11" xfId="0" applyFont="1" applyBorder="1" applyAlignment="1">
      <alignment horizontal="center" wrapText="1"/>
    </xf>
    <xf numFmtId="0" fontId="51" fillId="10" borderId="14" xfId="0" applyFont="1" applyFill="1" applyBorder="1" applyAlignment="1">
      <alignment horizontal="center" vertical="center"/>
    </xf>
    <xf numFmtId="0" fontId="51" fillId="10" borderId="14" xfId="0" applyFont="1" applyFill="1" applyBorder="1" applyAlignment="1">
      <alignment horizontal="center" vertical="center" wrapText="1"/>
    </xf>
    <xf numFmtId="2" fontId="54" fillId="0" borderId="14" xfId="0" applyNumberFormat="1" applyFont="1" applyBorder="1"/>
    <xf numFmtId="2" fontId="52" fillId="0" borderId="14" xfId="0" applyNumberFormat="1" applyFont="1" applyBorder="1"/>
    <xf numFmtId="0" fontId="24" fillId="0" borderId="6" xfId="0" applyFont="1" applyBorder="1" applyAlignment="1">
      <alignment horizontal="left" wrapText="1"/>
    </xf>
    <xf numFmtId="0" fontId="46" fillId="0" borderId="14" xfId="0" applyFont="1" applyBorder="1" applyAlignment="1">
      <alignment horizontal="left"/>
    </xf>
    <xf numFmtId="0" fontId="55" fillId="0" borderId="14" xfId="0" applyFont="1" applyBorder="1" applyAlignment="1">
      <alignment wrapText="1"/>
    </xf>
    <xf numFmtId="0" fontId="55" fillId="0" borderId="14" xfId="0" applyFont="1" applyBorder="1" applyAlignment="1">
      <alignment horizontal="center"/>
    </xf>
    <xf numFmtId="166" fontId="55" fillId="0" borderId="14" xfId="0" applyNumberFormat="1" applyFont="1" applyBorder="1"/>
    <xf numFmtId="2" fontId="46" fillId="0" borderId="14" xfId="0" applyNumberFormat="1" applyFont="1" applyBorder="1"/>
    <xf numFmtId="0" fontId="55" fillId="0" borderId="0" xfId="0" applyFont="1"/>
    <xf numFmtId="166" fontId="55" fillId="0" borderId="19" xfId="0" applyNumberFormat="1" applyFont="1" applyBorder="1"/>
    <xf numFmtId="166" fontId="56" fillId="0" borderId="25" xfId="0" applyNumberFormat="1" applyFont="1" applyBorder="1"/>
    <xf numFmtId="2" fontId="57" fillId="0" borderId="25" xfId="0" applyNumberFormat="1" applyFont="1" applyBorder="1"/>
    <xf numFmtId="166" fontId="52" fillId="0" borderId="0" xfId="0" applyNumberFormat="1" applyFont="1"/>
    <xf numFmtId="166" fontId="51" fillId="0" borderId="0" xfId="0" applyNumberFormat="1" applyFont="1"/>
    <xf numFmtId="10" fontId="53" fillId="0" borderId="0" xfId="0" applyNumberFormat="1" applyFont="1"/>
    <xf numFmtId="166" fontId="59" fillId="0" borderId="14" xfId="0" applyNumberFormat="1" applyFont="1" applyBorder="1"/>
    <xf numFmtId="10" fontId="53" fillId="0" borderId="14" xfId="0" applyNumberFormat="1" applyFont="1" applyBorder="1"/>
    <xf numFmtId="0" fontId="52" fillId="0" borderId="14" xfId="0" applyFont="1" applyBorder="1"/>
    <xf numFmtId="0" fontId="53" fillId="0" borderId="14" xfId="0" applyFont="1" applyBorder="1"/>
    <xf numFmtId="166" fontId="60" fillId="0" borderId="14" xfId="0" applyNumberFormat="1" applyFont="1" applyBorder="1"/>
    <xf numFmtId="0" fontId="61" fillId="0" borderId="14" xfId="0" applyFont="1" applyBorder="1" applyAlignment="1">
      <alignment horizontal="right"/>
    </xf>
    <xf numFmtId="0" fontId="45" fillId="0" borderId="14" xfId="0" applyFont="1" applyBorder="1" applyAlignment="1">
      <alignment horizontal="right"/>
    </xf>
    <xf numFmtId="0" fontId="45" fillId="0" borderId="0" xfId="0" applyFont="1" applyAlignment="1">
      <alignment horizontal="right"/>
    </xf>
    <xf numFmtId="0" fontId="61" fillId="0" borderId="0" xfId="0" applyFont="1" applyAlignment="1">
      <alignment horizontal="right"/>
    </xf>
    <xf numFmtId="0" fontId="58" fillId="10" borderId="14" xfId="0" applyFont="1" applyFill="1" applyBorder="1" applyAlignment="1">
      <alignment horizontal="center"/>
    </xf>
    <xf numFmtId="0" fontId="57" fillId="10" borderId="14" xfId="0" applyFont="1" applyFill="1" applyBorder="1" applyAlignment="1">
      <alignment horizontal="center"/>
    </xf>
    <xf numFmtId="0" fontId="58" fillId="10" borderId="14" xfId="0" applyFont="1" applyFill="1" applyBorder="1" applyAlignment="1">
      <alignment horizontal="center" wrapText="1"/>
    </xf>
    <xf numFmtId="2" fontId="62" fillId="0" borderId="14" xfId="0" applyNumberFormat="1" applyFont="1" applyBorder="1"/>
    <xf numFmtId="2" fontId="63" fillId="0" borderId="14" xfId="0" applyNumberFormat="1" applyFont="1" applyBorder="1"/>
    <xf numFmtId="166" fontId="64" fillId="0" borderId="0" xfId="0" applyNumberFormat="1" applyFont="1"/>
    <xf numFmtId="0" fontId="52" fillId="0" borderId="0" xfId="0" applyFont="1" applyAlignment="1">
      <alignment horizontal="right"/>
    </xf>
    <xf numFmtId="10" fontId="53" fillId="0" borderId="19" xfId="0" applyNumberFormat="1" applyFont="1" applyBorder="1"/>
    <xf numFmtId="2" fontId="52" fillId="0" borderId="19" xfId="0" applyNumberFormat="1" applyFont="1" applyBorder="1"/>
    <xf numFmtId="2" fontId="52" fillId="0" borderId="0" xfId="0" applyNumberFormat="1" applyFont="1"/>
    <xf numFmtId="0" fontId="45" fillId="0" borderId="19" xfId="0" applyFont="1" applyBorder="1" applyAlignment="1">
      <alignment horizontal="right"/>
    </xf>
    <xf numFmtId="166" fontId="59" fillId="0" borderId="19" xfId="0" applyNumberFormat="1" applyFont="1" applyBorder="1"/>
    <xf numFmtId="0" fontId="52" fillId="0" borderId="19" xfId="0" applyFont="1" applyBorder="1"/>
    <xf numFmtId="166" fontId="51" fillId="0" borderId="26" xfId="0" applyNumberFormat="1" applyFont="1" applyBorder="1"/>
    <xf numFmtId="166" fontId="64" fillId="0" borderId="26" xfId="0" applyNumberFormat="1" applyFont="1" applyBorder="1"/>
    <xf numFmtId="10" fontId="53" fillId="0" borderId="26" xfId="0" applyNumberFormat="1" applyFont="1" applyBorder="1"/>
    <xf numFmtId="0" fontId="52" fillId="0" borderId="26" xfId="0" applyFont="1" applyBorder="1"/>
    <xf numFmtId="2" fontId="52" fillId="0" borderId="26" xfId="0" applyNumberFormat="1" applyFont="1" applyBorder="1"/>
    <xf numFmtId="2" fontId="52" fillId="0" borderId="27" xfId="0" applyNumberFormat="1" applyFont="1" applyBorder="1"/>
    <xf numFmtId="0" fontId="61" fillId="0" borderId="28" xfId="0" applyFont="1" applyBorder="1" applyAlignment="1">
      <alignment horizontal="right"/>
    </xf>
    <xf numFmtId="166" fontId="51" fillId="0" borderId="28" xfId="0" applyNumberFormat="1" applyFont="1" applyBorder="1"/>
    <xf numFmtId="0" fontId="45" fillId="0" borderId="15" xfId="0" applyFont="1" applyBorder="1" applyAlignment="1">
      <alignment horizontal="right"/>
    </xf>
    <xf numFmtId="166" fontId="59" fillId="0" borderId="26" xfId="0" applyNumberFormat="1" applyFont="1" applyBorder="1"/>
    <xf numFmtId="0" fontId="52" fillId="0" borderId="27" xfId="0" applyFont="1" applyBorder="1"/>
    <xf numFmtId="0" fontId="51" fillId="0" borderId="0" xfId="0" applyFont="1"/>
    <xf numFmtId="0" fontId="59" fillId="0" borderId="14" xfId="0" applyFont="1" applyBorder="1"/>
    <xf numFmtId="0" fontId="14" fillId="0" borderId="6" xfId="0" applyFont="1" applyBorder="1" applyAlignment="1">
      <alignment horizontal="justify" vertical="center" wrapText="1"/>
    </xf>
    <xf numFmtId="0" fontId="40" fillId="0" borderId="6" xfId="0" applyFont="1" applyBorder="1" applyAlignment="1">
      <alignment vertical="center" wrapText="1"/>
    </xf>
    <xf numFmtId="0" fontId="27" fillId="0" borderId="6" xfId="0" applyFont="1" applyBorder="1" applyAlignment="1">
      <alignment horizontal="center" vertical="center" wrapText="1"/>
    </xf>
    <xf numFmtId="0" fontId="0" fillId="0" borderId="6" xfId="0" applyBorder="1" applyAlignment="1">
      <alignment vertical="center" wrapText="1"/>
    </xf>
    <xf numFmtId="1" fontId="32" fillId="0" borderId="6" xfId="0" applyNumberFormat="1" applyFont="1" applyBorder="1" applyAlignment="1">
      <alignment horizontal="center" vertical="center" wrapText="1"/>
    </xf>
    <xf numFmtId="1" fontId="32" fillId="9" borderId="6" xfId="0" applyNumberFormat="1" applyFont="1" applyFill="1" applyBorder="1" applyAlignment="1">
      <alignment horizontal="center" vertical="center" wrapText="1"/>
    </xf>
    <xf numFmtId="0" fontId="14" fillId="0" borderId="7" xfId="0" applyFont="1" applyBorder="1" applyAlignment="1">
      <alignment horizontal="left" wrapText="1"/>
    </xf>
    <xf numFmtId="0" fontId="0" fillId="0" borderId="7" xfId="0" applyBorder="1" applyAlignment="1">
      <alignment wrapText="1"/>
    </xf>
    <xf numFmtId="0" fontId="14" fillId="0" borderId="9" xfId="0" applyFont="1" applyBorder="1" applyAlignment="1">
      <alignment horizontal="left" wrapText="1"/>
    </xf>
    <xf numFmtId="0" fontId="0" fillId="0" borderId="9" xfId="0" applyBorder="1" applyAlignment="1">
      <alignment wrapText="1"/>
    </xf>
    <xf numFmtId="0" fontId="34" fillId="0" borderId="9" xfId="0" applyFont="1" applyBorder="1" applyAlignment="1">
      <alignment horizontal="center" wrapText="1"/>
    </xf>
    <xf numFmtId="0" fontId="32" fillId="0" borderId="9" xfId="0" applyFont="1" applyBorder="1" applyAlignment="1">
      <alignment horizontal="center" wrapText="1"/>
    </xf>
    <xf numFmtId="0" fontId="14" fillId="0" borderId="14" xfId="0" applyFont="1" applyBorder="1" applyAlignment="1">
      <alignment horizontal="left" wrapText="1"/>
    </xf>
    <xf numFmtId="0" fontId="0" fillId="0" borderId="14" xfId="0" applyBorder="1" applyAlignment="1">
      <alignment wrapText="1"/>
    </xf>
    <xf numFmtId="0" fontId="19" fillId="0" borderId="14" xfId="0" applyFont="1" applyBorder="1" applyAlignment="1">
      <alignment horizontal="left" wrapText="1"/>
    </xf>
    <xf numFmtId="0" fontId="23" fillId="0" borderId="14" xfId="0" applyFont="1" applyBorder="1" applyAlignment="1">
      <alignment wrapText="1"/>
    </xf>
    <xf numFmtId="0" fontId="32" fillId="0" borderId="8" xfId="0" applyFont="1" applyBorder="1" applyAlignment="1">
      <alignment horizontal="center" wrapText="1"/>
    </xf>
    <xf numFmtId="0" fontId="32" fillId="0" borderId="14" xfId="0" applyFont="1" applyBorder="1" applyAlignment="1">
      <alignment horizontal="center" wrapText="1"/>
    </xf>
    <xf numFmtId="0" fontId="14" fillId="0" borderId="15" xfId="0" applyFont="1" applyBorder="1" applyAlignment="1">
      <alignment vertical="center" wrapText="1"/>
    </xf>
    <xf numFmtId="167" fontId="14" fillId="9" borderId="15" xfId="0" applyNumberFormat="1" applyFont="1" applyFill="1" applyBorder="1" applyAlignment="1" applyProtection="1">
      <alignment vertical="center" wrapText="1"/>
      <protection locked="0"/>
    </xf>
    <xf numFmtId="3" fontId="52" fillId="0" borderId="14" xfId="0" applyNumberFormat="1" applyFont="1" applyBorder="1"/>
    <xf numFmtId="3" fontId="51" fillId="0" borderId="14" xfId="0" applyNumberFormat="1" applyFont="1" applyBorder="1"/>
    <xf numFmtId="49" fontId="14" fillId="2" borderId="18" xfId="0" applyNumberFormat="1" applyFont="1" applyFill="1" applyBorder="1" applyAlignment="1">
      <alignment vertical="top" wrapText="1"/>
    </xf>
    <xf numFmtId="0" fontId="32" fillId="0" borderId="29" xfId="0" applyFont="1" applyBorder="1" applyAlignment="1">
      <alignment horizontal="center" wrapText="1"/>
    </xf>
    <xf numFmtId="0" fontId="32" fillId="0" borderId="19" xfId="0" applyFont="1" applyBorder="1" applyAlignment="1">
      <alignment horizontal="center" wrapText="1"/>
    </xf>
    <xf numFmtId="0" fontId="0" fillId="0" borderId="6" xfId="0" applyBorder="1" applyAlignment="1">
      <alignment horizontal="center" vertical="center" wrapText="1"/>
    </xf>
    <xf numFmtId="0" fontId="32" fillId="0" borderId="7" xfId="0" applyFont="1" applyBorder="1" applyAlignment="1">
      <alignment horizontal="center" vertical="center" wrapText="1"/>
    </xf>
    <xf numFmtId="0" fontId="34" fillId="0" borderId="7" xfId="0" applyFont="1" applyBorder="1" applyAlignment="1">
      <alignment horizontal="center" wrapText="1"/>
    </xf>
    <xf numFmtId="0" fontId="32" fillId="0" borderId="7" xfId="0" applyFont="1" applyBorder="1" applyAlignment="1">
      <alignment horizontal="center" wrapText="1"/>
    </xf>
    <xf numFmtId="49" fontId="14" fillId="2" borderId="14" xfId="0" applyNumberFormat="1" applyFont="1" applyFill="1" applyBorder="1" applyAlignment="1">
      <alignment vertical="top" wrapText="1"/>
    </xf>
    <xf numFmtId="0" fontId="32" fillId="0" borderId="14" xfId="0" applyFont="1" applyBorder="1" applyAlignment="1">
      <alignment horizontal="center" vertical="center" wrapText="1"/>
    </xf>
    <xf numFmtId="0" fontId="34" fillId="0" borderId="14" xfId="0" applyFont="1" applyBorder="1" applyAlignment="1">
      <alignment horizontal="center" wrapText="1"/>
    </xf>
    <xf numFmtId="0" fontId="59" fillId="0" borderId="0" xfId="0" applyFont="1"/>
    <xf numFmtId="2" fontId="53" fillId="0" borderId="14" xfId="0" applyNumberFormat="1" applyFont="1" applyBorder="1" applyAlignment="1">
      <alignment horizontal="left"/>
    </xf>
    <xf numFmtId="49" fontId="18" fillId="2" borderId="8" xfId="0" applyNumberFormat="1" applyFont="1" applyFill="1" applyBorder="1" applyAlignment="1">
      <alignment vertical="top" wrapText="1"/>
    </xf>
    <xf numFmtId="49" fontId="18" fillId="2" borderId="10" xfId="0" applyNumberFormat="1" applyFont="1" applyFill="1" applyBorder="1" applyAlignment="1">
      <alignment vertical="top" wrapText="1"/>
    </xf>
    <xf numFmtId="0" fontId="32" fillId="0" borderId="9" xfId="0" applyFont="1" applyBorder="1" applyAlignment="1">
      <alignment horizontal="center" vertical="center" wrapText="1"/>
    </xf>
    <xf numFmtId="0" fontId="34" fillId="0" borderId="9" xfId="0" applyFont="1" applyBorder="1" applyAlignment="1">
      <alignment horizontal="center" vertical="center" wrapText="1"/>
    </xf>
    <xf numFmtId="0" fontId="14" fillId="0" borderId="9" xfId="0" applyFont="1" applyBorder="1" applyAlignment="1">
      <alignment wrapText="1"/>
    </xf>
    <xf numFmtId="0" fontId="32" fillId="0" borderId="16" xfId="0" applyFont="1" applyBorder="1" applyAlignment="1">
      <alignment horizontal="center" wrapText="1"/>
    </xf>
    <xf numFmtId="49" fontId="13" fillId="2" borderId="8" xfId="0" applyNumberFormat="1" applyFont="1" applyFill="1" applyBorder="1" applyAlignment="1">
      <alignment vertical="top"/>
    </xf>
    <xf numFmtId="0" fontId="32" fillId="0" borderId="8" xfId="0" applyFont="1" applyBorder="1" applyAlignment="1">
      <alignment horizontal="center" vertical="center" wrapText="1"/>
    </xf>
    <xf numFmtId="0" fontId="27" fillId="0" borderId="8" xfId="0" applyFont="1" applyBorder="1" applyAlignment="1">
      <alignment horizontal="center" vertical="center" wrapText="1"/>
    </xf>
    <xf numFmtId="0" fontId="34" fillId="0" borderId="8" xfId="0" applyFont="1" applyBorder="1" applyAlignment="1">
      <alignment horizontal="center" vertical="center" wrapText="1"/>
    </xf>
    <xf numFmtId="0" fontId="44" fillId="0" borderId="8" xfId="0" applyFont="1" applyBorder="1" applyAlignment="1">
      <alignment horizontal="center" wrapText="1"/>
    </xf>
    <xf numFmtId="0" fontId="32" fillId="0" borderId="15" xfId="0" applyFont="1" applyBorder="1" applyAlignment="1">
      <alignment horizontal="center" wrapText="1"/>
    </xf>
    <xf numFmtId="0" fontId="32" fillId="0" borderId="31" xfId="0" applyFont="1" applyBorder="1" applyAlignment="1">
      <alignment horizontal="center" wrapText="1"/>
    </xf>
    <xf numFmtId="0" fontId="28" fillId="0" borderId="8" xfId="0" applyFont="1" applyBorder="1" applyAlignment="1">
      <alignment horizontal="center" wrapText="1"/>
    </xf>
    <xf numFmtId="0" fontId="33" fillId="0" borderId="8" xfId="0" applyFont="1" applyBorder="1" applyAlignment="1">
      <alignment horizontal="center" wrapText="1"/>
    </xf>
    <xf numFmtId="0" fontId="28" fillId="0" borderId="8" xfId="0" applyFont="1" applyBorder="1" applyAlignment="1">
      <alignment horizontal="center" vertical="center" wrapText="1"/>
    </xf>
    <xf numFmtId="0" fontId="20" fillId="0" borderId="8" xfId="0" applyFont="1" applyBorder="1" applyAlignment="1">
      <alignment horizontal="center" wrapText="1"/>
    </xf>
    <xf numFmtId="0" fontId="14" fillId="0" borderId="8" xfId="0" applyFont="1" applyBorder="1" applyAlignment="1">
      <alignment horizontal="center" wrapText="1"/>
    </xf>
    <xf numFmtId="1" fontId="32" fillId="0" borderId="8" xfId="0" applyNumberFormat="1" applyFont="1" applyBorder="1" applyAlignment="1">
      <alignment horizontal="center" vertical="center" wrapText="1"/>
    </xf>
    <xf numFmtId="1" fontId="32" fillId="9" borderId="8" xfId="0" applyNumberFormat="1" applyFont="1" applyFill="1" applyBorder="1" applyAlignment="1">
      <alignment horizontal="center" vertical="center" wrapText="1"/>
    </xf>
    <xf numFmtId="0" fontId="27" fillId="0" borderId="8" xfId="0" applyFont="1" applyBorder="1" applyAlignment="1">
      <alignment horizontal="center" wrapText="1"/>
    </xf>
    <xf numFmtId="0" fontId="48" fillId="0" borderId="8" xfId="0" applyFont="1" applyBorder="1" applyAlignment="1">
      <alignment horizontal="center" wrapText="1"/>
    </xf>
    <xf numFmtId="9" fontId="34" fillId="0" borderId="8" xfId="0" applyNumberFormat="1" applyFont="1" applyBorder="1" applyAlignment="1">
      <alignment horizontal="center" wrapText="1"/>
    </xf>
    <xf numFmtId="0" fontId="34" fillId="0" borderId="8" xfId="0" applyFont="1" applyBorder="1" applyAlignment="1">
      <alignment horizontal="center" wrapText="1"/>
    </xf>
    <xf numFmtId="0" fontId="27" fillId="0" borderId="0" xfId="0" applyFont="1" applyAlignment="1">
      <alignment horizontal="center" wrapText="1"/>
    </xf>
    <xf numFmtId="0" fontId="34" fillId="0" borderId="0" xfId="0" applyFont="1" applyAlignment="1">
      <alignment horizontal="center" wrapText="1"/>
    </xf>
    <xf numFmtId="0" fontId="29" fillId="6" borderId="14" xfId="0" applyFont="1" applyFill="1" applyBorder="1" applyAlignment="1">
      <alignment horizontal="center" vertical="top" wrapText="1"/>
    </xf>
    <xf numFmtId="0" fontId="21" fillId="5" borderId="14" xfId="0" applyFont="1" applyFill="1" applyBorder="1" applyAlignment="1">
      <alignment wrapText="1"/>
    </xf>
    <xf numFmtId="49" fontId="13" fillId="2" borderId="14" xfId="0" applyNumberFormat="1" applyFont="1" applyFill="1" applyBorder="1" applyAlignment="1">
      <alignment vertical="top"/>
    </xf>
    <xf numFmtId="49" fontId="18" fillId="2" borderId="14" xfId="0" applyNumberFormat="1" applyFont="1" applyFill="1" applyBorder="1" applyAlignment="1">
      <alignment vertical="top"/>
    </xf>
    <xf numFmtId="49" fontId="18" fillId="2" borderId="14" xfId="0" applyNumberFormat="1" applyFont="1" applyFill="1" applyBorder="1" applyAlignment="1">
      <alignment vertical="top" wrapText="1"/>
    </xf>
    <xf numFmtId="49" fontId="21" fillId="8" borderId="14" xfId="0" applyNumberFormat="1" applyFont="1" applyFill="1" applyBorder="1" applyAlignment="1">
      <alignment horizontal="left" vertical="top" wrapText="1"/>
    </xf>
    <xf numFmtId="0" fontId="44" fillId="0" borderId="14" xfId="0" applyFont="1" applyBorder="1" applyAlignment="1">
      <alignment horizontal="center" wrapText="1"/>
    </xf>
    <xf numFmtId="0" fontId="22" fillId="5" borderId="14" xfId="0" applyFont="1" applyFill="1" applyBorder="1" applyAlignment="1">
      <alignment horizontal="justify" wrapText="1"/>
    </xf>
    <xf numFmtId="49" fontId="18" fillId="2" borderId="14" xfId="0" applyNumberFormat="1" applyFont="1" applyFill="1" applyBorder="1" applyAlignment="1">
      <alignment horizontal="justify" vertical="top" wrapText="1"/>
    </xf>
    <xf numFmtId="0" fontId="28" fillId="0" borderId="14" xfId="0" applyFont="1" applyBorder="1" applyAlignment="1">
      <alignment horizontal="center" wrapText="1"/>
    </xf>
    <xf numFmtId="0" fontId="30" fillId="6" borderId="14" xfId="0" applyFont="1" applyFill="1" applyBorder="1" applyAlignment="1">
      <alignment horizontal="center" vertical="top" wrapText="1"/>
    </xf>
    <xf numFmtId="49" fontId="50" fillId="2" borderId="14" xfId="0" applyNumberFormat="1" applyFont="1" applyFill="1" applyBorder="1" applyAlignment="1">
      <alignment vertical="top" wrapText="1"/>
    </xf>
    <xf numFmtId="0" fontId="27" fillId="0" borderId="14" xfId="0" applyFont="1" applyBorder="1" applyAlignment="1">
      <alignment horizontal="center" wrapText="1"/>
    </xf>
    <xf numFmtId="49" fontId="18" fillId="2" borderId="14" xfId="0" applyNumberFormat="1" applyFont="1" applyFill="1" applyBorder="1" applyAlignment="1">
      <alignment horizontal="justify" vertical="justify" wrapText="1"/>
    </xf>
    <xf numFmtId="0" fontId="48" fillId="0" borderId="14" xfId="0" applyFont="1" applyBorder="1" applyAlignment="1">
      <alignment horizontal="center" wrapText="1"/>
    </xf>
    <xf numFmtId="0" fontId="35" fillId="0" borderId="7" xfId="0" applyFont="1" applyBorder="1" applyAlignment="1">
      <alignment horizontal="center" vertical="center" wrapText="1"/>
    </xf>
    <xf numFmtId="0" fontId="32" fillId="0" borderId="29" xfId="0" applyFont="1" applyBorder="1" applyAlignment="1">
      <alignment horizontal="center" vertical="center" wrapText="1"/>
    </xf>
    <xf numFmtId="0" fontId="35" fillId="0" borderId="9" xfId="0" applyFont="1" applyBorder="1" applyAlignment="1">
      <alignment horizontal="center" vertical="center" wrapText="1"/>
    </xf>
    <xf numFmtId="0" fontId="32" fillId="0" borderId="21" xfId="0" applyFont="1" applyBorder="1" applyAlignment="1">
      <alignment horizontal="center" wrapText="1"/>
    </xf>
    <xf numFmtId="0" fontId="21" fillId="5" borderId="32" xfId="0" applyFont="1" applyFill="1" applyBorder="1" applyAlignment="1">
      <alignment wrapText="1"/>
    </xf>
    <xf numFmtId="0" fontId="21" fillId="5" borderId="33" xfId="0" applyFont="1" applyFill="1" applyBorder="1" applyAlignment="1">
      <alignment wrapText="1"/>
    </xf>
    <xf numFmtId="0" fontId="14" fillId="7" borderId="19" xfId="0" applyFont="1" applyFill="1" applyBorder="1" applyAlignment="1">
      <alignment vertical="top" wrapText="1"/>
    </xf>
    <xf numFmtId="0" fontId="14" fillId="0" borderId="19" xfId="0" applyFont="1" applyBorder="1" applyAlignment="1">
      <alignment horizontal="center" wrapText="1"/>
    </xf>
    <xf numFmtId="0" fontId="16" fillId="0" borderId="19" xfId="0" applyFont="1" applyBorder="1" applyAlignment="1">
      <alignment horizontal="center" wrapText="1"/>
    </xf>
    <xf numFmtId="0" fontId="32" fillId="0" borderId="34" xfId="0" applyFont="1" applyBorder="1" applyAlignment="1">
      <alignment horizontal="center" wrapText="1"/>
    </xf>
    <xf numFmtId="49" fontId="14" fillId="2" borderId="9" xfId="0" applyNumberFormat="1" applyFont="1" applyFill="1" applyBorder="1" applyAlignment="1">
      <alignment vertical="top" wrapText="1"/>
    </xf>
    <xf numFmtId="0" fontId="32" fillId="0" borderId="16" xfId="0" applyFont="1" applyBorder="1" applyAlignment="1">
      <alignment horizontal="center" vertical="center" wrapText="1"/>
    </xf>
    <xf numFmtId="49" fontId="18" fillId="2" borderId="15" xfId="0" applyNumberFormat="1" applyFont="1" applyFill="1" applyBorder="1" applyAlignment="1">
      <alignment vertical="top" wrapText="1"/>
    </xf>
    <xf numFmtId="49" fontId="18" fillId="2" borderId="35" xfId="0" applyNumberFormat="1" applyFont="1" applyFill="1" applyBorder="1" applyAlignment="1">
      <alignment vertical="top" wrapText="1"/>
    </xf>
    <xf numFmtId="49" fontId="18" fillId="2" borderId="17" xfId="0" applyNumberFormat="1" applyFont="1" applyFill="1" applyBorder="1" applyAlignment="1">
      <alignment vertical="top" wrapText="1"/>
    </xf>
    <xf numFmtId="0" fontId="21" fillId="5" borderId="31" xfId="0" applyFont="1" applyFill="1" applyBorder="1" applyAlignment="1">
      <alignment wrapText="1"/>
    </xf>
    <xf numFmtId="0" fontId="21" fillId="5" borderId="36" xfId="0" applyFont="1" applyFill="1" applyBorder="1" applyAlignment="1">
      <alignment wrapText="1"/>
    </xf>
    <xf numFmtId="0" fontId="21" fillId="5" borderId="37" xfId="0" applyFont="1" applyFill="1" applyBorder="1" applyAlignment="1">
      <alignment wrapText="1"/>
    </xf>
    <xf numFmtId="0" fontId="21" fillId="5" borderId="38" xfId="0" applyFont="1" applyFill="1" applyBorder="1" applyAlignment="1">
      <alignment wrapText="1"/>
    </xf>
    <xf numFmtId="49" fontId="13" fillId="2" borderId="10" xfId="0" applyNumberFormat="1" applyFont="1" applyFill="1" applyBorder="1" applyAlignment="1">
      <alignment vertical="top"/>
    </xf>
    <xf numFmtId="49" fontId="18" fillId="2" borderId="39" xfId="0" applyNumberFormat="1" applyFont="1" applyFill="1" applyBorder="1" applyAlignment="1">
      <alignment vertical="top" wrapText="1"/>
    </xf>
    <xf numFmtId="0" fontId="32" fillId="0" borderId="18" xfId="0" applyFont="1" applyBorder="1" applyAlignment="1">
      <alignment horizontal="center" vertical="center" wrapText="1"/>
    </xf>
    <xf numFmtId="0" fontId="34" fillId="0" borderId="18" xfId="0" applyFont="1" applyBorder="1" applyAlignment="1">
      <alignment horizontal="center" vertical="center" wrapText="1"/>
    </xf>
    <xf numFmtId="0" fontId="31" fillId="0" borderId="7" xfId="0" applyFont="1" applyBorder="1" applyAlignment="1">
      <alignment horizontal="center" vertical="center" wrapText="1"/>
    </xf>
    <xf numFmtId="49" fontId="21" fillId="8" borderId="41" xfId="0" applyNumberFormat="1" applyFont="1" applyFill="1" applyBorder="1" applyAlignment="1">
      <alignment vertical="top" wrapText="1"/>
    </xf>
    <xf numFmtId="49" fontId="21" fillId="8" borderId="42" xfId="0" applyNumberFormat="1" applyFont="1" applyFill="1" applyBorder="1" applyAlignment="1">
      <alignment vertical="top" wrapText="1"/>
    </xf>
    <xf numFmtId="49" fontId="21" fillId="8" borderId="43" xfId="0" applyNumberFormat="1" applyFont="1" applyFill="1" applyBorder="1" applyAlignment="1">
      <alignment vertical="top" wrapText="1"/>
    </xf>
    <xf numFmtId="49" fontId="21" fillId="8" borderId="44" xfId="0" applyNumberFormat="1" applyFont="1" applyFill="1" applyBorder="1" applyAlignment="1">
      <alignment vertical="top" wrapText="1"/>
    </xf>
    <xf numFmtId="49" fontId="21" fillId="8" borderId="32" xfId="0" applyNumberFormat="1" applyFont="1" applyFill="1" applyBorder="1" applyAlignment="1">
      <alignment horizontal="left" vertical="top" wrapText="1"/>
    </xf>
    <xf numFmtId="49" fontId="21" fillId="8" borderId="17" xfId="0" applyNumberFormat="1" applyFont="1" applyFill="1" applyBorder="1" applyAlignment="1">
      <alignment horizontal="left" vertical="top" wrapText="1"/>
    </xf>
    <xf numFmtId="0" fontId="14" fillId="0" borderId="7" xfId="0" applyFont="1" applyBorder="1" applyAlignment="1">
      <alignment wrapText="1"/>
    </xf>
    <xf numFmtId="0" fontId="29" fillId="6" borderId="32" xfId="0" applyFont="1" applyFill="1" applyBorder="1" applyAlignment="1">
      <alignment horizontal="center" vertical="top" wrapText="1"/>
    </xf>
    <xf numFmtId="0" fontId="16" fillId="0" borderId="9" xfId="0" applyFont="1" applyBorder="1" applyAlignment="1">
      <alignment horizontal="center" wrapText="1"/>
    </xf>
    <xf numFmtId="0" fontId="21" fillId="5" borderId="17" xfId="0" applyFont="1" applyFill="1" applyBorder="1" applyAlignment="1">
      <alignment wrapText="1"/>
    </xf>
    <xf numFmtId="49" fontId="18" fillId="2" borderId="21" xfId="0" applyNumberFormat="1" applyFont="1" applyFill="1" applyBorder="1" applyAlignment="1">
      <alignment vertical="top"/>
    </xf>
    <xf numFmtId="14" fontId="14" fillId="0" borderId="7" xfId="0" applyNumberFormat="1" applyFont="1" applyBorder="1" applyAlignment="1">
      <alignment horizontal="left" wrapText="1"/>
    </xf>
    <xf numFmtId="49" fontId="18" fillId="2" borderId="9" xfId="0" applyNumberFormat="1" applyFont="1" applyFill="1" applyBorder="1" applyAlignment="1">
      <alignment vertical="top"/>
    </xf>
    <xf numFmtId="49" fontId="18" fillId="2" borderId="16" xfId="0" applyNumberFormat="1" applyFont="1" applyFill="1" applyBorder="1" applyAlignment="1">
      <alignment vertical="top"/>
    </xf>
    <xf numFmtId="49" fontId="13" fillId="2" borderId="17" xfId="0" applyNumberFormat="1" applyFont="1" applyFill="1" applyBorder="1" applyAlignment="1">
      <alignment vertical="top"/>
    </xf>
    <xf numFmtId="49" fontId="18" fillId="2" borderId="33" xfId="0" applyNumberFormat="1" applyFont="1" applyFill="1" applyBorder="1" applyAlignment="1">
      <alignment vertical="top"/>
    </xf>
    <xf numFmtId="49" fontId="14" fillId="2" borderId="7" xfId="0" applyNumberFormat="1" applyFont="1" applyFill="1" applyBorder="1" applyAlignment="1">
      <alignment vertical="top"/>
    </xf>
    <xf numFmtId="0" fontId="40" fillId="0" borderId="7" xfId="0" applyFont="1" applyBorder="1" applyAlignment="1">
      <alignment wrapText="1"/>
    </xf>
    <xf numFmtId="49" fontId="14" fillId="2" borderId="9" xfId="0" applyNumberFormat="1" applyFont="1" applyFill="1" applyBorder="1" applyAlignment="1">
      <alignment vertical="top"/>
    </xf>
    <xf numFmtId="0" fontId="40" fillId="0" borderId="9" xfId="0" applyFont="1" applyBorder="1" applyAlignment="1">
      <alignment wrapText="1"/>
    </xf>
    <xf numFmtId="168" fontId="16" fillId="0" borderId="7" xfId="0" applyNumberFormat="1" applyFont="1" applyBorder="1" applyAlignment="1">
      <alignment horizontal="center" vertical="center"/>
    </xf>
    <xf numFmtId="0" fontId="32" fillId="0" borderId="9" xfId="0" applyFont="1" applyBorder="1" applyAlignment="1">
      <alignment wrapText="1"/>
    </xf>
    <xf numFmtId="0" fontId="32" fillId="0" borderId="7" xfId="0" applyFont="1" applyBorder="1" applyAlignment="1">
      <alignment wrapText="1"/>
    </xf>
    <xf numFmtId="49" fontId="13" fillId="2" borderId="32" xfId="0" applyNumberFormat="1" applyFont="1" applyFill="1" applyBorder="1" applyAlignment="1">
      <alignment vertical="top"/>
    </xf>
    <xf numFmtId="168" fontId="16" fillId="0" borderId="9" xfId="0" applyNumberFormat="1" applyFont="1" applyBorder="1" applyAlignment="1">
      <alignment horizontal="center" vertical="center"/>
    </xf>
    <xf numFmtId="49" fontId="18" fillId="2" borderId="32" xfId="0" applyNumberFormat="1" applyFont="1" applyFill="1" applyBorder="1" applyAlignment="1">
      <alignment vertical="top" wrapText="1"/>
    </xf>
    <xf numFmtId="49" fontId="18" fillId="2" borderId="33" xfId="0" applyNumberFormat="1" applyFont="1" applyFill="1" applyBorder="1" applyAlignment="1">
      <alignment vertical="top" wrapText="1"/>
    </xf>
    <xf numFmtId="49" fontId="36" fillId="2" borderId="17" xfId="0" applyNumberFormat="1" applyFont="1" applyFill="1" applyBorder="1" applyAlignment="1">
      <alignment vertical="top" wrapText="1"/>
    </xf>
    <xf numFmtId="14" fontId="14" fillId="0" borderId="18" xfId="0" applyNumberFormat="1" applyFont="1" applyBorder="1" applyAlignment="1">
      <alignment horizontal="left" wrapText="1"/>
    </xf>
    <xf numFmtId="0" fontId="40" fillId="0" borderId="18" xfId="0" applyFont="1" applyBorder="1" applyAlignment="1">
      <alignment wrapText="1"/>
    </xf>
    <xf numFmtId="0" fontId="32" fillId="0" borderId="23" xfId="0" applyFont="1" applyBorder="1" applyAlignment="1">
      <alignment horizontal="center" vertical="center" wrapText="1"/>
    </xf>
    <xf numFmtId="49" fontId="21" fillId="2" borderId="18" xfId="0" applyNumberFormat="1" applyFont="1" applyFill="1" applyBorder="1" applyAlignment="1">
      <alignment vertical="top" wrapText="1"/>
    </xf>
    <xf numFmtId="0" fontId="14" fillId="0" borderId="18" xfId="0" applyFont="1" applyBorder="1" applyAlignment="1">
      <alignment horizontal="center" vertical="center" wrapText="1"/>
    </xf>
    <xf numFmtId="49" fontId="21" fillId="0" borderId="18" xfId="0" applyNumberFormat="1" applyFont="1" applyBorder="1" applyAlignment="1">
      <alignment vertical="top" wrapText="1"/>
    </xf>
    <xf numFmtId="0" fontId="16" fillId="0" borderId="18" xfId="0" applyFont="1" applyBorder="1" applyAlignment="1">
      <alignment horizontal="center" wrapText="1"/>
    </xf>
    <xf numFmtId="0" fontId="14" fillId="0" borderId="18" xfId="0" applyFont="1" applyBorder="1" applyAlignment="1">
      <alignment horizontal="center" wrapText="1"/>
    </xf>
    <xf numFmtId="0" fontId="32" fillId="0" borderId="18" xfId="0" applyFont="1" applyBorder="1" applyAlignment="1">
      <alignment horizontal="center" wrapText="1"/>
    </xf>
    <xf numFmtId="0" fontId="32" fillId="0" borderId="23" xfId="0" applyFont="1" applyBorder="1" applyAlignment="1">
      <alignment horizontal="center" wrapText="1"/>
    </xf>
    <xf numFmtId="0" fontId="32" fillId="0" borderId="45" xfId="0" applyFont="1" applyBorder="1" applyAlignment="1">
      <alignment horizontal="center" wrapText="1"/>
    </xf>
    <xf numFmtId="0" fontId="32" fillId="0" borderId="46" xfId="0" applyFont="1" applyBorder="1" applyAlignment="1">
      <alignment horizontal="center" wrapText="1"/>
    </xf>
    <xf numFmtId="0" fontId="32" fillId="0" borderId="45" xfId="0" applyFont="1" applyBorder="1" applyAlignment="1">
      <alignment horizontal="center" vertical="center" wrapText="1"/>
    </xf>
    <xf numFmtId="0" fontId="32" fillId="0" borderId="47" xfId="0" applyFont="1" applyBorder="1" applyAlignment="1">
      <alignment horizontal="center" vertical="center" wrapText="1"/>
    </xf>
    <xf numFmtId="0" fontId="32" fillId="0" borderId="46" xfId="0" applyFont="1" applyBorder="1" applyAlignment="1">
      <alignment horizontal="center" vertical="center" wrapText="1"/>
    </xf>
    <xf numFmtId="0" fontId="32" fillId="0" borderId="47" xfId="0" applyFont="1" applyBorder="1" applyAlignment="1">
      <alignment horizontal="center" wrapText="1"/>
    </xf>
    <xf numFmtId="0" fontId="32" fillId="0" borderId="48" xfId="0" applyFont="1" applyBorder="1" applyAlignment="1">
      <alignment horizontal="center" wrapText="1"/>
    </xf>
    <xf numFmtId="0" fontId="32" fillId="0" borderId="49" xfId="0" applyFont="1" applyBorder="1" applyAlignment="1">
      <alignment horizontal="center" wrapText="1"/>
    </xf>
    <xf numFmtId="49" fontId="13" fillId="2" borderId="19" xfId="0" applyNumberFormat="1" applyFont="1" applyFill="1" applyBorder="1" applyAlignment="1">
      <alignment vertical="top"/>
    </xf>
    <xf numFmtId="9" fontId="34" fillId="0" borderId="14" xfId="0" applyNumberFormat="1" applyFont="1" applyBorder="1" applyAlignment="1">
      <alignment horizontal="center" wrapText="1"/>
    </xf>
    <xf numFmtId="1" fontId="32" fillId="0" borderId="14" xfId="0" applyNumberFormat="1" applyFont="1" applyBorder="1" applyAlignment="1">
      <alignment horizontal="center" vertical="center" wrapText="1"/>
    </xf>
    <xf numFmtId="1" fontId="32" fillId="9" borderId="14" xfId="0" applyNumberFormat="1" applyFont="1" applyFill="1" applyBorder="1" applyAlignment="1">
      <alignment horizontal="center" vertical="center" wrapText="1"/>
    </xf>
    <xf numFmtId="0" fontId="20" fillId="0" borderId="14" xfId="0" applyFont="1" applyBorder="1" applyAlignment="1">
      <alignment horizontal="center" wrapText="1"/>
    </xf>
    <xf numFmtId="0" fontId="28" fillId="0" borderId="14" xfId="0" applyFont="1" applyBorder="1" applyAlignment="1">
      <alignment horizontal="center" vertical="center" wrapText="1"/>
    </xf>
    <xf numFmtId="0" fontId="33" fillId="0" borderId="14" xfId="0" applyFont="1" applyBorder="1" applyAlignment="1">
      <alignment horizontal="center" wrapText="1"/>
    </xf>
    <xf numFmtId="0" fontId="27" fillId="0" borderId="14" xfId="0" applyFont="1" applyBorder="1" applyAlignment="1">
      <alignment horizontal="center" vertical="center" wrapText="1"/>
    </xf>
    <xf numFmtId="0" fontId="34" fillId="0" borderId="14" xfId="0" applyFont="1" applyBorder="1" applyAlignment="1">
      <alignment horizontal="center" vertical="center" wrapText="1"/>
    </xf>
    <xf numFmtId="0" fontId="25" fillId="7" borderId="14" xfId="0" applyFont="1" applyFill="1" applyBorder="1" applyAlignment="1">
      <alignment vertical="top" wrapText="1"/>
    </xf>
    <xf numFmtId="0" fontId="25" fillId="0" borderId="50" xfId="0" applyFont="1" applyBorder="1" applyAlignment="1">
      <alignment horizontal="center" wrapText="1"/>
    </xf>
    <xf numFmtId="0" fontId="25" fillId="0" borderId="0" xfId="0" applyFont="1" applyAlignment="1">
      <alignment horizontal="center" wrapText="1"/>
    </xf>
    <xf numFmtId="0" fontId="25" fillId="0" borderId="51" xfId="0" applyFont="1" applyBorder="1" applyAlignment="1">
      <alignment horizontal="center" wrapText="1"/>
    </xf>
    <xf numFmtId="49" fontId="14" fillId="2" borderId="22" xfId="0" applyNumberFormat="1" applyFont="1" applyFill="1" applyBorder="1" applyAlignment="1">
      <alignment vertical="top" wrapText="1"/>
    </xf>
    <xf numFmtId="49" fontId="14" fillId="2" borderId="10" xfId="0" applyNumberFormat="1" applyFont="1" applyFill="1" applyBorder="1" applyAlignment="1">
      <alignment vertical="top" wrapText="1"/>
    </xf>
    <xf numFmtId="49" fontId="32" fillId="2" borderId="10" xfId="0" applyNumberFormat="1" applyFont="1" applyFill="1" applyBorder="1" applyAlignment="1">
      <alignment vertical="top" wrapText="1"/>
    </xf>
    <xf numFmtId="49" fontId="14" fillId="2" borderId="52" xfId="0" applyNumberFormat="1" applyFont="1" applyFill="1" applyBorder="1" applyAlignment="1">
      <alignment vertical="top" wrapText="1"/>
    </xf>
    <xf numFmtId="0" fontId="25" fillId="0" borderId="14" xfId="0" applyFont="1" applyBorder="1" applyAlignment="1">
      <alignment horizontal="center" wrapText="1"/>
    </xf>
    <xf numFmtId="0" fontId="14" fillId="0" borderId="14" xfId="0" applyFont="1" applyBorder="1" applyAlignment="1">
      <alignment wrapText="1"/>
    </xf>
    <xf numFmtId="0" fontId="65" fillId="0" borderId="14" xfId="0" applyFont="1" applyBorder="1" applyAlignment="1">
      <alignment wrapText="1"/>
    </xf>
    <xf numFmtId="0" fontId="25" fillId="0" borderId="53" xfId="0" applyFont="1" applyBorder="1" applyAlignment="1">
      <alignment horizontal="center" wrapText="1"/>
    </xf>
    <xf numFmtId="0" fontId="34" fillId="0" borderId="54" xfId="0" applyFont="1" applyBorder="1" applyAlignment="1">
      <alignment horizontal="center" wrapText="1"/>
    </xf>
    <xf numFmtId="0" fontId="26" fillId="0" borderId="14" xfId="0" applyFont="1" applyBorder="1" applyAlignment="1">
      <alignment horizontal="center" wrapText="1"/>
    </xf>
    <xf numFmtId="0" fontId="25" fillId="0" borderId="55" xfId="0" applyFont="1" applyBorder="1" applyAlignment="1">
      <alignment horizontal="center" wrapText="1"/>
    </xf>
    <xf numFmtId="0" fontId="25" fillId="0" borderId="56" xfId="0" applyFont="1" applyBorder="1" applyAlignment="1">
      <alignment horizontal="center" wrapText="1"/>
    </xf>
    <xf numFmtId="49" fontId="36" fillId="2" borderId="33" xfId="0" applyNumberFormat="1" applyFont="1" applyFill="1" applyBorder="1" applyAlignment="1">
      <alignment vertical="top" wrapText="1"/>
    </xf>
    <xf numFmtId="0" fontId="14" fillId="0" borderId="15" xfId="0" applyFont="1" applyBorder="1" applyAlignment="1">
      <alignment wrapText="1"/>
    </xf>
    <xf numFmtId="0" fontId="14" fillId="0" borderId="35" xfId="0" applyFont="1" applyBorder="1" applyAlignment="1">
      <alignment wrapText="1"/>
    </xf>
    <xf numFmtId="0" fontId="32" fillId="0" borderId="30" xfId="0" applyFont="1" applyBorder="1" applyAlignment="1">
      <alignment horizontal="center" wrapText="1"/>
    </xf>
    <xf numFmtId="0" fontId="26" fillId="0" borderId="14" xfId="0" applyFont="1" applyBorder="1" applyAlignment="1">
      <alignment horizontal="center" vertical="top" wrapText="1"/>
    </xf>
    <xf numFmtId="0" fontId="21" fillId="5" borderId="57" xfId="0" applyFont="1" applyFill="1" applyBorder="1" applyAlignment="1">
      <alignment wrapText="1"/>
    </xf>
    <xf numFmtId="0" fontId="14" fillId="0" borderId="0" xfId="0" applyFont="1"/>
    <xf numFmtId="0" fontId="13" fillId="0" borderId="0" xfId="0" applyFont="1" applyAlignment="1">
      <alignment horizontal="center" vertical="center" wrapText="1"/>
    </xf>
    <xf numFmtId="0" fontId="14" fillId="0" borderId="68" xfId="0" applyFont="1" applyBorder="1"/>
    <xf numFmtId="0" fontId="13" fillId="0" borderId="68" xfId="0" applyFont="1" applyBorder="1" applyAlignment="1">
      <alignment horizontal="center" vertical="center" wrapText="1"/>
    </xf>
    <xf numFmtId="0" fontId="14" fillId="0" borderId="69" xfId="0" applyFont="1" applyBorder="1" applyAlignment="1">
      <alignment vertical="center" wrapText="1"/>
    </xf>
    <xf numFmtId="0" fontId="14" fillId="0" borderId="71" xfId="0" applyFont="1" applyBorder="1" applyAlignment="1">
      <alignment vertical="center" wrapText="1"/>
    </xf>
    <xf numFmtId="0" fontId="16" fillId="0" borderId="71" xfId="0" applyFont="1" applyBorder="1" applyAlignment="1">
      <alignment vertical="center" wrapText="1"/>
    </xf>
    <xf numFmtId="0" fontId="14" fillId="0" borderId="68" xfId="0" applyFont="1" applyBorder="1" applyAlignment="1">
      <alignment vertical="center" wrapText="1"/>
    </xf>
    <xf numFmtId="0" fontId="14" fillId="14" borderId="69" xfId="0" applyFont="1" applyFill="1" applyBorder="1" applyAlignment="1">
      <alignment vertical="center"/>
    </xf>
    <xf numFmtId="0" fontId="68" fillId="14" borderId="69" xfId="0" applyFont="1" applyFill="1" applyBorder="1" applyAlignment="1">
      <alignment vertical="center" wrapText="1"/>
    </xf>
    <xf numFmtId="0" fontId="14" fillId="14" borderId="69" xfId="0" applyFont="1" applyFill="1" applyBorder="1" applyAlignment="1">
      <alignment vertical="center" wrapText="1"/>
    </xf>
    <xf numFmtId="0" fontId="16" fillId="0" borderId="71" xfId="0" applyFont="1" applyBorder="1" applyAlignment="1">
      <alignment vertical="center"/>
    </xf>
    <xf numFmtId="0" fontId="14" fillId="14" borderId="70" xfId="0" applyFont="1" applyFill="1" applyBorder="1" applyAlignment="1">
      <alignment vertical="center" wrapText="1"/>
    </xf>
    <xf numFmtId="0" fontId="15" fillId="0" borderId="68" xfId="0" applyFont="1" applyBorder="1" applyAlignment="1">
      <alignment vertical="center" wrapText="1"/>
    </xf>
    <xf numFmtId="0" fontId="16" fillId="0" borderId="68" xfId="0" applyFont="1" applyBorder="1" applyAlignment="1">
      <alignment vertical="center" wrapText="1"/>
    </xf>
    <xf numFmtId="0" fontId="68" fillId="0" borderId="71" xfId="0" applyFont="1" applyBorder="1" applyAlignment="1">
      <alignment vertical="center" wrapText="1"/>
    </xf>
    <xf numFmtId="0" fontId="68" fillId="0" borderId="72" xfId="0" applyFont="1" applyBorder="1" applyAlignment="1">
      <alignment vertical="center" wrapText="1"/>
    </xf>
    <xf numFmtId="0" fontId="14" fillId="0" borderId="71" xfId="0" applyFont="1" applyBorder="1" applyAlignment="1">
      <alignment wrapText="1"/>
    </xf>
    <xf numFmtId="0" fontId="14" fillId="0" borderId="68" xfId="0" applyFont="1" applyBorder="1" applyAlignment="1">
      <alignment wrapText="1"/>
    </xf>
    <xf numFmtId="0" fontId="68" fillId="0" borderId="68" xfId="0" applyFont="1" applyBorder="1" applyAlignment="1">
      <alignment vertical="center" wrapText="1"/>
    </xf>
    <xf numFmtId="0" fontId="69" fillId="0" borderId="71" xfId="0" applyFont="1" applyBorder="1" applyAlignment="1">
      <alignment vertical="center" wrapText="1"/>
    </xf>
    <xf numFmtId="3" fontId="14" fillId="0" borderId="68" xfId="0" applyNumberFormat="1" applyFont="1" applyBorder="1" applyAlignment="1">
      <alignment vertical="center" wrapText="1"/>
    </xf>
    <xf numFmtId="0" fontId="20" fillId="0" borderId="68" xfId="0" applyFont="1" applyBorder="1" applyAlignment="1">
      <alignment vertical="center" wrapText="1"/>
    </xf>
    <xf numFmtId="0" fontId="14" fillId="0" borderId="72" xfId="0" applyFont="1" applyBorder="1" applyAlignment="1">
      <alignment horizontal="justify" vertical="center" wrapText="1"/>
    </xf>
    <xf numFmtId="0" fontId="14" fillId="0" borderId="71" xfId="0" applyFont="1" applyBorder="1" applyAlignment="1">
      <alignment horizontal="justify" vertical="center" wrapText="1"/>
    </xf>
    <xf numFmtId="0" fontId="14" fillId="14" borderId="69" xfId="0" applyFont="1" applyFill="1" applyBorder="1" applyAlignment="1">
      <alignment horizontal="justify" vertical="center" wrapText="1"/>
    </xf>
    <xf numFmtId="0" fontId="14" fillId="15" borderId="68" xfId="0" applyFont="1" applyFill="1" applyBorder="1" applyAlignment="1">
      <alignment vertical="center" wrapText="1"/>
    </xf>
    <xf numFmtId="0" fontId="14" fillId="14" borderId="77" xfId="0" applyFont="1" applyFill="1" applyBorder="1" applyAlignment="1">
      <alignment vertical="top"/>
    </xf>
    <xf numFmtId="0" fontId="14" fillId="0" borderId="73" xfId="0" applyFont="1" applyBorder="1" applyAlignment="1">
      <alignment vertical="center" wrapText="1"/>
    </xf>
    <xf numFmtId="0" fontId="14" fillId="0" borderId="75" xfId="0" applyFont="1" applyBorder="1" applyAlignment="1">
      <alignment vertical="center" wrapText="1"/>
    </xf>
    <xf numFmtId="0" fontId="68" fillId="0" borderId="73" xfId="0" applyFont="1" applyBorder="1" applyAlignment="1">
      <alignment vertical="center" wrapText="1"/>
    </xf>
    <xf numFmtId="0" fontId="68" fillId="0" borderId="74" xfId="0" applyFont="1" applyBorder="1" applyAlignment="1">
      <alignment vertical="center" wrapText="1"/>
    </xf>
    <xf numFmtId="0" fontId="68" fillId="14" borderId="73" xfId="0" applyFont="1" applyFill="1" applyBorder="1" applyAlignment="1">
      <alignment vertical="center" wrapText="1"/>
    </xf>
    <xf numFmtId="0" fontId="67" fillId="14" borderId="76" xfId="0" applyFont="1" applyFill="1" applyBorder="1" applyAlignment="1">
      <alignment vertical="center"/>
    </xf>
    <xf numFmtId="0" fontId="67" fillId="14" borderId="77" xfId="0" applyFont="1" applyFill="1" applyBorder="1" applyAlignment="1">
      <alignment vertical="center"/>
    </xf>
    <xf numFmtId="0" fontId="69" fillId="0" borderId="73" xfId="0" applyFont="1" applyBorder="1" applyAlignment="1">
      <alignment horizontal="center" vertical="center" wrapText="1"/>
    </xf>
    <xf numFmtId="0" fontId="14" fillId="0" borderId="74" xfId="0" applyFont="1" applyBorder="1" applyAlignment="1">
      <alignment horizontal="center" vertical="center" wrapText="1"/>
    </xf>
    <xf numFmtId="0" fontId="14" fillId="0" borderId="73" xfId="0" applyFont="1" applyBorder="1" applyAlignment="1">
      <alignment horizontal="center" vertical="center" wrapText="1"/>
    </xf>
    <xf numFmtId="0" fontId="16" fillId="0" borderId="73" xfId="0" applyFont="1" applyBorder="1" applyAlignment="1">
      <alignment horizontal="center" vertical="center" wrapText="1"/>
    </xf>
    <xf numFmtId="0" fontId="29" fillId="0" borderId="0" xfId="0" applyFont="1" applyAlignment="1">
      <alignment vertical="center"/>
    </xf>
    <xf numFmtId="0" fontId="13" fillId="0" borderId="14" xfId="0" applyFont="1" applyBorder="1" applyAlignment="1">
      <alignment horizontal="center" vertical="center" wrapText="1"/>
    </xf>
    <xf numFmtId="0" fontId="21" fillId="12" borderId="14" xfId="0" applyFont="1" applyFill="1" applyBorder="1" applyAlignment="1">
      <alignment vertical="center" wrapText="1"/>
    </xf>
    <xf numFmtId="0" fontId="14" fillId="0" borderId="14" xfId="0" applyFont="1" applyBorder="1" applyAlignment="1">
      <alignment vertical="center" wrapText="1"/>
    </xf>
    <xf numFmtId="0" fontId="14" fillId="11" borderId="14" xfId="0" applyFont="1" applyFill="1" applyBorder="1" applyAlignment="1">
      <alignment vertical="top" wrapText="1"/>
    </xf>
    <xf numFmtId="0" fontId="14" fillId="13" borderId="14" xfId="0" applyFont="1" applyFill="1" applyBorder="1" applyAlignment="1">
      <alignment wrapText="1"/>
    </xf>
    <xf numFmtId="0" fontId="14" fillId="14" borderId="14" xfId="0" applyFont="1" applyFill="1" applyBorder="1" applyAlignment="1">
      <alignment vertical="top"/>
    </xf>
    <xf numFmtId="0" fontId="14" fillId="14" borderId="14" xfId="0" applyFont="1" applyFill="1" applyBorder="1" applyAlignment="1">
      <alignment vertical="top" wrapText="1"/>
    </xf>
    <xf numFmtId="0" fontId="14" fillId="12" borderId="14" xfId="0" applyFont="1" applyFill="1" applyBorder="1" applyAlignment="1">
      <alignment vertical="top" wrapText="1"/>
    </xf>
    <xf numFmtId="0" fontId="15" fillId="0" borderId="14" xfId="0" applyFont="1" applyBorder="1" applyAlignment="1">
      <alignment vertical="center" wrapText="1"/>
    </xf>
    <xf numFmtId="0" fontId="16" fillId="0" borderId="14" xfId="0" applyFont="1" applyBorder="1" applyAlignment="1">
      <alignment vertical="center" wrapText="1"/>
    </xf>
    <xf numFmtId="0" fontId="67" fillId="14" borderId="14" xfId="0" applyFont="1" applyFill="1" applyBorder="1" applyAlignment="1">
      <alignment horizontal="left" vertical="center" wrapText="1"/>
    </xf>
    <xf numFmtId="0" fontId="68" fillId="0" borderId="14" xfId="0" applyFont="1" applyBorder="1" applyAlignment="1">
      <alignment vertical="center" wrapText="1"/>
    </xf>
    <xf numFmtId="3" fontId="14" fillId="0" borderId="14" xfId="0" applyNumberFormat="1" applyFont="1" applyBorder="1" applyAlignment="1">
      <alignment vertical="center" wrapText="1"/>
    </xf>
    <xf numFmtId="0" fontId="14" fillId="0" borderId="14" xfId="0" applyFont="1" applyBorder="1" applyAlignment="1">
      <alignment horizontal="center" vertical="center" wrapText="1"/>
    </xf>
    <xf numFmtId="0" fontId="20" fillId="0" borderId="14" xfId="0" applyFont="1" applyBorder="1" applyAlignment="1">
      <alignment vertical="center" wrapText="1"/>
    </xf>
    <xf numFmtId="0" fontId="67" fillId="14" borderId="14" xfId="0" applyFont="1" applyFill="1" applyBorder="1" applyAlignment="1">
      <alignment horizontal="justify" vertical="center" wrapText="1"/>
    </xf>
    <xf numFmtId="0" fontId="21" fillId="13" borderId="14" xfId="0" applyFont="1" applyFill="1" applyBorder="1" applyAlignment="1">
      <alignment vertical="center" wrapText="1"/>
    </xf>
    <xf numFmtId="0" fontId="13" fillId="14" borderId="14" xfId="0" applyFont="1" applyFill="1" applyBorder="1" applyAlignment="1">
      <alignment vertical="center"/>
    </xf>
    <xf numFmtId="0" fontId="67" fillId="14" borderId="14" xfId="0" applyFont="1" applyFill="1" applyBorder="1" applyAlignment="1">
      <alignment vertical="center" wrapText="1"/>
    </xf>
    <xf numFmtId="0" fontId="14" fillId="15" borderId="14" xfId="0" applyFont="1" applyFill="1" applyBorder="1" applyAlignment="1">
      <alignment vertical="center" wrapText="1"/>
    </xf>
    <xf numFmtId="0" fontId="0" fillId="0" borderId="81" xfId="0" applyBorder="1"/>
    <xf numFmtId="0" fontId="0" fillId="0" borderId="82" xfId="0" applyBorder="1"/>
    <xf numFmtId="0" fontId="0" fillId="0" borderId="84" xfId="0" applyBorder="1"/>
    <xf numFmtId="0" fontId="0" fillId="0" borderId="85" xfId="0" applyBorder="1"/>
    <xf numFmtId="0" fontId="74" fillId="0" borderId="84" xfId="0" applyFont="1" applyBorder="1"/>
    <xf numFmtId="0" fontId="77" fillId="0" borderId="0" xfId="0" applyFont="1" applyAlignment="1">
      <alignment vertical="top"/>
    </xf>
    <xf numFmtId="0" fontId="73" fillId="0" borderId="0" xfId="0" applyFont="1"/>
    <xf numFmtId="0" fontId="80" fillId="0" borderId="14" xfId="0" applyFont="1" applyBorder="1" applyAlignment="1">
      <alignment horizontal="center" vertical="center" wrapText="1"/>
    </xf>
    <xf numFmtId="0" fontId="73" fillId="20" borderId="0" xfId="0" applyFont="1" applyFill="1"/>
    <xf numFmtId="0" fontId="77" fillId="0" borderId="0" xfId="0" applyFont="1"/>
    <xf numFmtId="0" fontId="83" fillId="0" borderId="0" xfId="0" applyFont="1"/>
    <xf numFmtId="0" fontId="84" fillId="0" borderId="0" xfId="0" applyFont="1" applyAlignment="1">
      <alignment horizontal="left" vertical="top" wrapText="1"/>
    </xf>
    <xf numFmtId="0" fontId="85" fillId="0" borderId="0" xfId="0" applyFont="1"/>
    <xf numFmtId="0" fontId="85" fillId="20" borderId="0" xfId="0" applyFont="1" applyFill="1"/>
    <xf numFmtId="0" fontId="87" fillId="0" borderId="0" xfId="0" applyFont="1"/>
    <xf numFmtId="166" fontId="78" fillId="0" borderId="0" xfId="0" applyNumberFormat="1" applyFont="1" applyAlignment="1">
      <alignment horizontal="center" vertical="center" wrapText="1"/>
    </xf>
    <xf numFmtId="0" fontId="73" fillId="0" borderId="0" xfId="0" applyFont="1" applyAlignment="1">
      <alignment vertical="top"/>
    </xf>
    <xf numFmtId="0" fontId="76" fillId="0" borderId="0" xfId="0" applyFont="1" applyAlignment="1">
      <alignment horizontal="left" vertical="top" wrapText="1"/>
    </xf>
    <xf numFmtId="0" fontId="77" fillId="20" borderId="0" xfId="0" applyFont="1" applyFill="1"/>
    <xf numFmtId="166" fontId="76" fillId="0" borderId="0" xfId="0" applyNumberFormat="1" applyFont="1" applyAlignment="1">
      <alignment horizontal="center" vertical="center" wrapText="1"/>
    </xf>
    <xf numFmtId="0" fontId="73" fillId="0" borderId="79" xfId="0" applyFont="1" applyBorder="1"/>
    <xf numFmtId="166" fontId="73" fillId="0" borderId="0" xfId="0" applyNumberFormat="1" applyFont="1"/>
    <xf numFmtId="0" fontId="72" fillId="0" borderId="0" xfId="0" applyFont="1" applyAlignment="1">
      <alignment vertical="top" wrapText="1"/>
    </xf>
    <xf numFmtId="166" fontId="73" fillId="0" borderId="0" xfId="0" applyNumberFormat="1" applyFont="1" applyAlignment="1">
      <alignment vertical="top"/>
    </xf>
    <xf numFmtId="0" fontId="73" fillId="20" borderId="0" xfId="0" applyFont="1" applyFill="1" applyAlignment="1">
      <alignment vertical="top"/>
    </xf>
    <xf numFmtId="0" fontId="0" fillId="0" borderId="0" xfId="0" applyAlignment="1">
      <alignment vertical="top"/>
    </xf>
    <xf numFmtId="166" fontId="77" fillId="0" borderId="0" xfId="0" applyNumberFormat="1" applyFont="1"/>
    <xf numFmtId="166" fontId="85" fillId="0" borderId="0" xfId="0" applyNumberFormat="1" applyFont="1"/>
    <xf numFmtId="0" fontId="79" fillId="0" borderId="21" xfId="0" applyFont="1" applyBorder="1" applyAlignment="1">
      <alignment horizontal="center" vertical="center" wrapText="1"/>
    </xf>
    <xf numFmtId="0" fontId="0" fillId="0" borderId="84" xfId="0" applyBorder="1" applyAlignment="1">
      <alignment horizontal="left"/>
    </xf>
    <xf numFmtId="0" fontId="86" fillId="0" borderId="0" xfId="0" applyFont="1" applyAlignment="1">
      <alignment vertical="center"/>
    </xf>
    <xf numFmtId="0" fontId="86" fillId="0" borderId="0" xfId="0" applyFont="1" applyAlignment="1">
      <alignment horizontal="center" vertical="center"/>
    </xf>
    <xf numFmtId="0" fontId="77" fillId="0" borderId="0" xfId="0" applyFont="1" applyAlignment="1">
      <alignment horizontal="center"/>
    </xf>
    <xf numFmtId="0" fontId="81" fillId="0" borderId="0" xfId="0" applyFont="1" applyAlignment="1">
      <alignment vertical="center"/>
    </xf>
    <xf numFmtId="0" fontId="85" fillId="0" borderId="14" xfId="0" applyFont="1" applyBorder="1"/>
    <xf numFmtId="0" fontId="72" fillId="0" borderId="0" xfId="0" applyFont="1" applyAlignment="1">
      <alignment vertical="top"/>
    </xf>
    <xf numFmtId="0" fontId="75" fillId="0" borderId="0" xfId="0" applyFont="1"/>
    <xf numFmtId="0" fontId="77" fillId="0" borderId="14" xfId="0" applyFont="1" applyBorder="1"/>
    <xf numFmtId="0" fontId="90" fillId="0" borderId="0" xfId="0" applyFont="1" applyAlignment="1">
      <alignment vertical="center"/>
    </xf>
    <xf numFmtId="0" fontId="89" fillId="0" borderId="0" xfId="0" applyFont="1" applyAlignment="1">
      <alignment vertical="center"/>
    </xf>
    <xf numFmtId="166" fontId="91" fillId="0" borderId="0" xfId="0" applyNumberFormat="1" applyFont="1" applyAlignment="1">
      <alignment vertical="center"/>
    </xf>
    <xf numFmtId="49" fontId="90" fillId="0" borderId="0" xfId="0" applyNumberFormat="1" applyFont="1" applyAlignment="1">
      <alignment vertical="center"/>
    </xf>
    <xf numFmtId="0" fontId="90" fillId="20" borderId="0" xfId="0" applyFont="1" applyFill="1" applyAlignment="1">
      <alignment vertical="center"/>
    </xf>
    <xf numFmtId="166" fontId="77" fillId="0" borderId="14" xfId="0" applyNumberFormat="1" applyFont="1" applyBorder="1" applyAlignment="1">
      <alignment horizontal="left" vertical="center" wrapText="1"/>
    </xf>
    <xf numFmtId="0" fontId="77" fillId="0" borderId="14" xfId="0" applyFont="1" applyBorder="1" applyAlignment="1">
      <alignment wrapText="1"/>
    </xf>
    <xf numFmtId="0" fontId="77" fillId="0" borderId="14" xfId="0" applyFont="1" applyBorder="1" applyAlignment="1">
      <alignment horizontal="left" wrapText="1"/>
    </xf>
    <xf numFmtId="0" fontId="77" fillId="0" borderId="14" xfId="0" applyFont="1" applyBorder="1" applyAlignment="1">
      <alignment horizontal="left" vertical="center" wrapText="1"/>
    </xf>
    <xf numFmtId="2" fontId="77" fillId="0" borderId="14" xfId="0" quotePrefix="1" applyNumberFormat="1" applyFont="1" applyBorder="1" applyAlignment="1">
      <alignment horizontal="left" vertical="center" wrapText="1"/>
    </xf>
    <xf numFmtId="9" fontId="77" fillId="0" borderId="14" xfId="22" quotePrefix="1" applyFont="1" applyBorder="1" applyAlignment="1">
      <alignment horizontal="left" vertical="center" wrapText="1"/>
    </xf>
    <xf numFmtId="0" fontId="73" fillId="35" borderId="0" xfId="0" applyFont="1" applyFill="1"/>
    <xf numFmtId="0" fontId="95" fillId="0" borderId="86" xfId="0" applyFont="1" applyBorder="1"/>
    <xf numFmtId="0" fontId="95" fillId="0" borderId="87" xfId="0" applyFont="1" applyBorder="1"/>
    <xf numFmtId="0" fontId="95" fillId="0" borderId="88" xfId="0" applyFont="1" applyBorder="1"/>
    <xf numFmtId="166" fontId="90" fillId="0" borderId="0" xfId="0" applyNumberFormat="1" applyFont="1" applyAlignment="1">
      <alignment vertical="center"/>
    </xf>
    <xf numFmtId="0" fontId="72" fillId="0" borderId="0" xfId="0" applyFont="1"/>
    <xf numFmtId="166" fontId="72" fillId="0" borderId="0" xfId="0" applyNumberFormat="1" applyFont="1"/>
    <xf numFmtId="0" fontId="77" fillId="0" borderId="0" xfId="0" applyFont="1" applyAlignment="1">
      <alignment horizontal="left"/>
    </xf>
    <xf numFmtId="0" fontId="90" fillId="0" borderId="0" xfId="0" applyFont="1" applyAlignment="1">
      <alignment horizontal="center" vertical="center"/>
    </xf>
    <xf numFmtId="0" fontId="90" fillId="0" borderId="0" xfId="0" applyFont="1"/>
    <xf numFmtId="166" fontId="90" fillId="0" borderId="0" xfId="0" applyNumberFormat="1" applyFont="1"/>
    <xf numFmtId="0" fontId="100" fillId="0" borderId="0" xfId="0" applyFont="1"/>
    <xf numFmtId="0" fontId="98" fillId="0" borderId="0" xfId="0" applyFont="1"/>
    <xf numFmtId="0" fontId="77" fillId="0" borderId="21" xfId="0" applyFont="1" applyBorder="1" applyAlignment="1">
      <alignment wrapText="1"/>
    </xf>
    <xf numFmtId="0" fontId="85" fillId="0" borderId="0" xfId="0" applyFont="1" applyAlignment="1">
      <alignment vertical="center"/>
    </xf>
    <xf numFmtId="49" fontId="85" fillId="0" borderId="0" xfId="0" applyNumberFormat="1" applyFont="1" applyAlignment="1">
      <alignment vertical="center"/>
    </xf>
    <xf numFmtId="0" fontId="84" fillId="0" borderId="0" xfId="0" applyFont="1" applyAlignment="1">
      <alignment vertical="center"/>
    </xf>
    <xf numFmtId="0" fontId="101" fillId="0" borderId="0" xfId="0" applyFont="1" applyAlignment="1">
      <alignment vertical="center" wrapText="1"/>
    </xf>
    <xf numFmtId="0" fontId="85" fillId="0" borderId="38" xfId="0" applyFont="1" applyBorder="1" applyAlignment="1">
      <alignment vertical="center"/>
    </xf>
    <xf numFmtId="0" fontId="85" fillId="0" borderId="14" xfId="0" applyFont="1" applyBorder="1" applyAlignment="1">
      <alignment vertical="center"/>
    </xf>
    <xf numFmtId="0" fontId="85" fillId="0" borderId="0" xfId="0" applyFont="1" applyAlignment="1">
      <alignment horizontal="center" vertical="center"/>
    </xf>
    <xf numFmtId="166" fontId="84" fillId="0" borderId="21" xfId="0" applyNumberFormat="1" applyFont="1" applyBorder="1" applyAlignment="1">
      <alignment horizontal="center" vertical="center" wrapText="1"/>
    </xf>
    <xf numFmtId="0" fontId="85" fillId="0" borderId="0" xfId="0" applyFont="1" applyAlignment="1">
      <alignment vertical="center" wrapText="1"/>
    </xf>
    <xf numFmtId="0" fontId="84" fillId="0" borderId="0" xfId="0" applyFont="1" applyAlignment="1">
      <alignment vertical="center" wrapText="1"/>
    </xf>
    <xf numFmtId="166" fontId="84" fillId="0" borderId="14" xfId="0" applyNumberFormat="1" applyFont="1" applyBorder="1" applyAlignment="1">
      <alignment vertical="center" wrapText="1"/>
    </xf>
    <xf numFmtId="166" fontId="84" fillId="0" borderId="0" xfId="0" applyNumberFormat="1" applyFont="1" applyAlignment="1">
      <alignment vertical="center" wrapText="1"/>
    </xf>
    <xf numFmtId="166" fontId="102" fillId="0" borderId="0" xfId="0" applyNumberFormat="1" applyFont="1" applyAlignment="1">
      <alignment vertical="center" wrapText="1"/>
    </xf>
    <xf numFmtId="9" fontId="84" fillId="0" borderId="14" xfId="22" applyFont="1" applyBorder="1" applyAlignment="1">
      <alignment vertical="center" wrapText="1"/>
    </xf>
    <xf numFmtId="0" fontId="84" fillId="0" borderId="14" xfId="0" applyFont="1" applyBorder="1" applyAlignment="1">
      <alignment horizontal="center" vertical="center" wrapText="1"/>
    </xf>
    <xf numFmtId="166" fontId="84" fillId="0" borderId="21" xfId="0" applyNumberFormat="1" applyFont="1" applyBorder="1" applyAlignment="1">
      <alignment vertical="center" wrapText="1"/>
    </xf>
    <xf numFmtId="9" fontId="84" fillId="0" borderId="21" xfId="22" applyFont="1" applyBorder="1" applyAlignment="1">
      <alignment vertical="center" wrapText="1"/>
    </xf>
    <xf numFmtId="0" fontId="85" fillId="0" borderId="14" xfId="0" applyFont="1" applyBorder="1" applyAlignment="1">
      <alignment horizontal="left" vertical="center" wrapText="1"/>
    </xf>
    <xf numFmtId="0" fontId="84" fillId="17" borderId="14" xfId="0" applyFont="1" applyFill="1" applyBorder="1" applyAlignment="1">
      <alignment horizontal="left" vertical="center" wrapText="1"/>
    </xf>
    <xf numFmtId="0" fontId="84" fillId="0" borderId="14" xfId="0" applyFont="1" applyBorder="1" applyAlignment="1">
      <alignment horizontal="left" vertical="center" wrapText="1"/>
    </xf>
    <xf numFmtId="0" fontId="85" fillId="34" borderId="14" xfId="0" applyFont="1" applyFill="1" applyBorder="1" applyAlignment="1">
      <alignment horizontal="left" vertical="center" wrapText="1"/>
    </xf>
    <xf numFmtId="0" fontId="106" fillId="34" borderId="14" xfId="0" applyFont="1" applyFill="1" applyBorder="1" applyAlignment="1">
      <alignment horizontal="left" vertical="center" wrapText="1"/>
    </xf>
    <xf numFmtId="0" fontId="106" fillId="0" borderId="14" xfId="0" applyFont="1" applyBorder="1" applyAlignment="1">
      <alignment horizontal="left" vertical="center" wrapText="1"/>
    </xf>
    <xf numFmtId="0" fontId="85" fillId="0" borderId="0" xfId="0" applyFont="1" applyAlignment="1">
      <alignment horizontal="left" vertical="top" wrapText="1"/>
    </xf>
    <xf numFmtId="0" fontId="85" fillId="0" borderId="0" xfId="0" applyFont="1" applyAlignment="1">
      <alignment vertical="top"/>
    </xf>
    <xf numFmtId="49" fontId="85" fillId="0" borderId="0" xfId="0" applyNumberFormat="1" applyFont="1" applyAlignment="1">
      <alignment horizontal="left" vertical="top" wrapText="1"/>
    </xf>
    <xf numFmtId="0" fontId="101" fillId="0" borderId="0" xfId="0" applyFont="1" applyAlignment="1">
      <alignment horizontal="left" vertical="top" wrapText="1"/>
    </xf>
    <xf numFmtId="0" fontId="84" fillId="0" borderId="0" xfId="0" applyFont="1" applyAlignment="1">
      <alignment horizontal="center" vertical="top" wrapText="1"/>
    </xf>
    <xf numFmtId="0" fontId="84" fillId="0" borderId="19" xfId="0" applyFont="1" applyBorder="1" applyAlignment="1">
      <alignment horizontal="center" vertical="center" wrapText="1"/>
    </xf>
    <xf numFmtId="0" fontId="103" fillId="0" borderId="19" xfId="0" applyFont="1" applyBorder="1" applyAlignment="1">
      <alignment horizontal="center" vertical="center" wrapText="1"/>
    </xf>
    <xf numFmtId="9" fontId="84" fillId="0" borderId="21" xfId="22" applyFont="1" applyBorder="1" applyAlignment="1">
      <alignment horizontal="center" vertical="center" wrapText="1"/>
    </xf>
    <xf numFmtId="166" fontId="84" fillId="0" borderId="0" xfId="0" applyNumberFormat="1" applyFont="1" applyAlignment="1">
      <alignment horizontal="center" vertical="center" wrapText="1"/>
    </xf>
    <xf numFmtId="166" fontId="102" fillId="0" borderId="0" xfId="0" applyNumberFormat="1" applyFont="1" applyAlignment="1">
      <alignment horizontal="center" vertical="center" wrapText="1"/>
    </xf>
    <xf numFmtId="9" fontId="84" fillId="0" borderId="21" xfId="22" applyFont="1" applyFill="1" applyBorder="1" applyAlignment="1">
      <alignment horizontal="center" vertical="center" wrapText="1"/>
    </xf>
    <xf numFmtId="49" fontId="85" fillId="0" borderId="0" xfId="0" applyNumberFormat="1" applyFont="1"/>
    <xf numFmtId="0" fontId="73" fillId="0" borderId="0" xfId="0" applyFont="1" applyAlignment="1">
      <alignment horizontal="center" vertical="top"/>
    </xf>
    <xf numFmtId="0" fontId="73" fillId="0" borderId="0" xfId="0" applyFont="1" applyAlignment="1">
      <alignment horizontal="center"/>
    </xf>
    <xf numFmtId="0" fontId="85" fillId="0" borderId="0" xfId="0" applyFont="1" applyAlignment="1">
      <alignment horizontal="center"/>
    </xf>
    <xf numFmtId="0" fontId="103" fillId="0" borderId="14" xfId="0" applyFont="1" applyBorder="1" applyAlignment="1">
      <alignment horizontal="center" vertical="center" wrapText="1"/>
    </xf>
    <xf numFmtId="166" fontId="85" fillId="29" borderId="14" xfId="0" applyNumberFormat="1" applyFont="1" applyFill="1" applyBorder="1" applyAlignment="1">
      <alignment horizontal="left" vertical="top"/>
    </xf>
    <xf numFmtId="166" fontId="85" fillId="29" borderId="14" xfId="0" applyNumberFormat="1" applyFont="1" applyFill="1" applyBorder="1" applyAlignment="1">
      <alignment horizontal="left" vertical="top" wrapText="1"/>
    </xf>
    <xf numFmtId="166" fontId="85" fillId="29" borderId="21" xfId="0" applyNumberFormat="1" applyFont="1" applyFill="1" applyBorder="1" applyAlignment="1">
      <alignment horizontal="left" vertical="top"/>
    </xf>
    <xf numFmtId="0" fontId="84" fillId="0" borderId="0" xfId="0" applyFont="1" applyAlignment="1">
      <alignment horizontal="center" vertical="center" wrapText="1"/>
    </xf>
    <xf numFmtId="166" fontId="102" fillId="0" borderId="0" xfId="0" applyNumberFormat="1" applyFont="1" applyAlignment="1">
      <alignment horizontal="left" vertical="center" wrapText="1"/>
    </xf>
    <xf numFmtId="49" fontId="84" fillId="28" borderId="14" xfId="0" applyNumberFormat="1" applyFont="1" applyFill="1" applyBorder="1" applyAlignment="1">
      <alignment horizontal="left" vertical="top"/>
    </xf>
    <xf numFmtId="0" fontId="85" fillId="0" borderId="0" xfId="0" applyFont="1" applyAlignment="1">
      <alignment horizontal="left" vertical="center"/>
    </xf>
    <xf numFmtId="9" fontId="84" fillId="0" borderId="21" xfId="22" applyFont="1" applyBorder="1" applyAlignment="1">
      <alignment horizontal="left" vertical="center" wrapText="1"/>
    </xf>
    <xf numFmtId="166" fontId="84" fillId="0" borderId="21" xfId="0" applyNumberFormat="1" applyFont="1" applyBorder="1" applyAlignment="1">
      <alignment horizontal="left" vertical="center" wrapText="1"/>
    </xf>
    <xf numFmtId="0" fontId="85" fillId="26" borderId="14" xfId="0" applyFont="1" applyFill="1" applyBorder="1" applyAlignment="1">
      <alignment horizontal="left" vertical="top" textRotation="90" wrapText="1"/>
    </xf>
    <xf numFmtId="0" fontId="85" fillId="25" borderId="14" xfId="0" applyFont="1" applyFill="1" applyBorder="1" applyAlignment="1">
      <alignment horizontal="left" vertical="top"/>
    </xf>
    <xf numFmtId="166" fontId="85" fillId="25" borderId="14" xfId="0" applyNumberFormat="1" applyFont="1" applyFill="1" applyBorder="1" applyAlignment="1">
      <alignment horizontal="left" vertical="top"/>
    </xf>
    <xf numFmtId="166" fontId="84" fillId="0" borderId="21" xfId="0" applyNumberFormat="1" applyFont="1" applyBorder="1" applyAlignment="1">
      <alignment vertical="top" wrapText="1"/>
    </xf>
    <xf numFmtId="166" fontId="84" fillId="0" borderId="0" xfId="0" applyNumberFormat="1" applyFont="1" applyAlignment="1">
      <alignment vertical="top" wrapText="1"/>
    </xf>
    <xf numFmtId="166" fontId="102" fillId="0" borderId="0" xfId="0" applyNumberFormat="1" applyFont="1" applyAlignment="1">
      <alignment horizontal="left" vertical="top" wrapText="1"/>
    </xf>
    <xf numFmtId="166" fontId="102" fillId="0" borderId="0" xfId="0" applyNumberFormat="1" applyFont="1" applyAlignment="1">
      <alignment vertical="top" wrapText="1"/>
    </xf>
    <xf numFmtId="9" fontId="84" fillId="0" borderId="21" xfId="22" applyFont="1" applyFill="1" applyBorder="1" applyAlignment="1">
      <alignment vertical="top" wrapText="1"/>
    </xf>
    <xf numFmtId="166" fontId="102" fillId="0" borderId="0" xfId="0" applyNumberFormat="1" applyFont="1" applyAlignment="1">
      <alignment horizontal="center" vertical="top" wrapText="1"/>
    </xf>
    <xf numFmtId="166" fontId="101" fillId="25" borderId="14" xfId="0" applyNumberFormat="1" applyFont="1" applyFill="1" applyBorder="1" applyAlignment="1">
      <alignment horizontal="left" vertical="top"/>
    </xf>
    <xf numFmtId="49" fontId="85" fillId="29" borderId="14" xfId="0" applyNumberFormat="1" applyFont="1" applyFill="1" applyBorder="1" applyAlignment="1">
      <alignment horizontal="left" vertical="top" wrapText="1"/>
    </xf>
    <xf numFmtId="49" fontId="84" fillId="29" borderId="24" xfId="0" applyNumberFormat="1" applyFont="1" applyFill="1" applyBorder="1" applyAlignment="1">
      <alignment horizontal="left" vertical="top" wrapText="1"/>
    </xf>
    <xf numFmtId="49" fontId="85" fillId="29" borderId="24" xfId="0" applyNumberFormat="1" applyFont="1" applyFill="1" applyBorder="1" applyAlignment="1">
      <alignment horizontal="left" vertical="top" wrapText="1"/>
    </xf>
    <xf numFmtId="49" fontId="85" fillId="25" borderId="14" xfId="0" applyNumberFormat="1" applyFont="1" applyFill="1" applyBorder="1" applyAlignment="1">
      <alignment horizontal="left" vertical="top" wrapText="1"/>
    </xf>
    <xf numFmtId="0" fontId="89" fillId="0" borderId="0" xfId="0" applyFont="1" applyAlignment="1">
      <alignment horizontal="center" vertical="center"/>
    </xf>
    <xf numFmtId="0" fontId="76" fillId="0" borderId="0" xfId="0" applyFont="1" applyAlignment="1">
      <alignment horizontal="center"/>
    </xf>
    <xf numFmtId="0" fontId="84" fillId="0" borderId="0" xfId="0" applyFont="1" applyAlignment="1">
      <alignment horizontal="center"/>
    </xf>
    <xf numFmtId="166" fontId="90" fillId="11" borderId="0" xfId="0" applyNumberFormat="1" applyFont="1" applyFill="1" applyAlignment="1">
      <alignment vertical="center"/>
    </xf>
    <xf numFmtId="9" fontId="102" fillId="0" borderId="14" xfId="22" applyFont="1" applyBorder="1" applyAlignment="1">
      <alignment horizontal="center" vertical="top"/>
    </xf>
    <xf numFmtId="166" fontId="102" fillId="0" borderId="21" xfId="0" applyNumberFormat="1" applyFont="1" applyBorder="1" applyAlignment="1">
      <alignment horizontal="center" vertical="center" wrapText="1"/>
    </xf>
    <xf numFmtId="166" fontId="117" fillId="0" borderId="21" xfId="0" applyNumberFormat="1" applyFont="1" applyBorder="1" applyAlignment="1">
      <alignment vertical="center" wrapText="1"/>
    </xf>
    <xf numFmtId="166" fontId="114" fillId="25" borderId="14" xfId="0" applyNumberFormat="1" applyFont="1" applyFill="1" applyBorder="1" applyAlignment="1">
      <alignment horizontal="left" vertical="top"/>
    </xf>
    <xf numFmtId="0" fontId="73" fillId="0" borderId="0" xfId="0" applyFont="1" applyAlignment="1">
      <alignment horizontal="left"/>
    </xf>
    <xf numFmtId="0" fontId="84" fillId="28" borderId="14" xfId="0" applyFont="1" applyFill="1" applyBorder="1" applyAlignment="1">
      <alignment horizontal="left" vertical="top" wrapText="1"/>
    </xf>
    <xf numFmtId="0" fontId="90" fillId="0" borderId="0" xfId="0" applyFont="1" applyAlignment="1">
      <alignment vertical="top"/>
    </xf>
    <xf numFmtId="0" fontId="73" fillId="0" borderId="17" xfId="0" applyFont="1" applyBorder="1" applyAlignment="1">
      <alignment horizontal="center" vertical="top"/>
    </xf>
    <xf numFmtId="0" fontId="73" fillId="0" borderId="14" xfId="0" applyFont="1" applyBorder="1" applyAlignment="1">
      <alignment horizontal="center" vertical="top"/>
    </xf>
    <xf numFmtId="0" fontId="73" fillId="34" borderId="0" xfId="0" applyFont="1" applyFill="1"/>
    <xf numFmtId="0" fontId="84" fillId="28" borderId="14" xfId="0" applyFont="1" applyFill="1" applyBorder="1" applyAlignment="1">
      <alignment horizontal="left" vertical="top"/>
    </xf>
    <xf numFmtId="166" fontId="84" fillId="28" borderId="14" xfId="0" applyNumberFormat="1" applyFont="1" applyFill="1" applyBorder="1" applyAlignment="1">
      <alignment horizontal="left" vertical="top"/>
    </xf>
    <xf numFmtId="0" fontId="87" fillId="0" borderId="0" xfId="0" applyFont="1" applyAlignment="1">
      <alignment vertical="top"/>
    </xf>
    <xf numFmtId="49" fontId="84" fillId="29" borderId="14" xfId="0" applyNumberFormat="1" applyFont="1" applyFill="1" applyBorder="1" applyAlignment="1">
      <alignment horizontal="left" vertical="top"/>
    </xf>
    <xf numFmtId="49" fontId="84" fillId="29" borderId="6" xfId="0" applyNumberFormat="1" applyFont="1" applyFill="1" applyBorder="1" applyAlignment="1">
      <alignment horizontal="left" vertical="top"/>
    </xf>
    <xf numFmtId="0" fontId="85" fillId="0" borderId="14" xfId="0" applyFont="1" applyBorder="1" applyAlignment="1">
      <alignment horizontal="left"/>
    </xf>
    <xf numFmtId="0" fontId="103" fillId="0" borderId="21" xfId="0" applyFont="1" applyBorder="1" applyAlignment="1">
      <alignment horizontal="center" vertical="center" wrapText="1"/>
    </xf>
    <xf numFmtId="166" fontId="84" fillId="0" borderId="33" xfId="0" applyNumberFormat="1" applyFont="1" applyBorder="1" applyAlignment="1">
      <alignment horizontal="center" vertical="center" wrapText="1"/>
    </xf>
    <xf numFmtId="9" fontId="84" fillId="0" borderId="14" xfId="22" applyFont="1" applyBorder="1" applyAlignment="1">
      <alignment horizontal="center" vertical="center"/>
    </xf>
    <xf numFmtId="0" fontId="77" fillId="17" borderId="0" xfId="0" applyFont="1" applyFill="1"/>
    <xf numFmtId="166" fontId="117" fillId="0" borderId="0" xfId="0" applyNumberFormat="1" applyFont="1" applyAlignment="1">
      <alignment vertical="center" wrapText="1"/>
    </xf>
    <xf numFmtId="166" fontId="118" fillId="0" borderId="21" xfId="0" applyNumberFormat="1" applyFont="1" applyBorder="1" applyAlignment="1">
      <alignment vertical="center" wrapText="1"/>
    </xf>
    <xf numFmtId="9" fontId="118" fillId="0" borderId="21" xfId="22" applyFont="1" applyBorder="1" applyAlignment="1">
      <alignment vertical="center" wrapText="1"/>
    </xf>
    <xf numFmtId="9" fontId="84" fillId="0" borderId="21" xfId="22" applyFont="1" applyFill="1" applyBorder="1" applyAlignment="1">
      <alignment horizontal="left" vertical="center" wrapText="1"/>
    </xf>
    <xf numFmtId="166" fontId="118" fillId="28" borderId="14" xfId="0" applyNumberFormat="1" applyFont="1" applyFill="1" applyBorder="1" applyAlignment="1">
      <alignment horizontal="left" vertical="top"/>
    </xf>
    <xf numFmtId="9" fontId="118" fillId="28" borderId="14" xfId="22" applyFont="1" applyFill="1" applyBorder="1" applyAlignment="1">
      <alignment horizontal="left" vertical="top"/>
    </xf>
    <xf numFmtId="166" fontId="118" fillId="0" borderId="21" xfId="0" applyNumberFormat="1" applyFont="1" applyBorder="1" applyAlignment="1">
      <alignment vertical="top" wrapText="1"/>
    </xf>
    <xf numFmtId="9" fontId="118" fillId="0" borderId="21" xfId="22" applyFont="1" applyBorder="1" applyAlignment="1">
      <alignment vertical="top" wrapText="1"/>
    </xf>
    <xf numFmtId="9" fontId="102" fillId="0" borderId="21" xfId="22" applyFont="1" applyBorder="1" applyAlignment="1">
      <alignment horizontal="center" vertical="center" wrapText="1"/>
    </xf>
    <xf numFmtId="49" fontId="85" fillId="29" borderId="14" xfId="0" applyNumberFormat="1" applyFont="1" applyFill="1" applyBorder="1" applyAlignment="1">
      <alignment horizontal="left" vertical="top"/>
    </xf>
    <xf numFmtId="49" fontId="85" fillId="30" borderId="14" xfId="0" applyNumberFormat="1" applyFont="1" applyFill="1" applyBorder="1" applyAlignment="1">
      <alignment horizontal="left" vertical="top" wrapText="1"/>
    </xf>
    <xf numFmtId="49" fontId="116" fillId="29" borderId="14" xfId="0" quotePrefix="1" applyNumberFormat="1" applyFont="1" applyFill="1" applyBorder="1" applyAlignment="1">
      <alignment horizontal="left" vertical="top" wrapText="1"/>
    </xf>
    <xf numFmtId="9" fontId="90" fillId="0" borderId="0" xfId="0" applyNumberFormat="1" applyFont="1"/>
    <xf numFmtId="9" fontId="90" fillId="0" borderId="0" xfId="22" applyFont="1"/>
    <xf numFmtId="49" fontId="85" fillId="0" borderId="19" xfId="0" applyNumberFormat="1" applyFont="1" applyBorder="1" applyAlignment="1">
      <alignment horizontal="left" vertical="top" wrapText="1"/>
    </xf>
    <xf numFmtId="49" fontId="85" fillId="0" borderId="24" xfId="0" applyNumberFormat="1" applyFont="1" applyBorder="1" applyAlignment="1">
      <alignment horizontal="left" vertical="top" wrapText="1"/>
    </xf>
    <xf numFmtId="49" fontId="85" fillId="0" borderId="21" xfId="0" applyNumberFormat="1" applyFont="1" applyBorder="1" applyAlignment="1">
      <alignment horizontal="left" vertical="top" wrapText="1"/>
    </xf>
    <xf numFmtId="49" fontId="84" fillId="37" borderId="19" xfId="0" applyNumberFormat="1" applyFont="1" applyFill="1" applyBorder="1" applyAlignment="1">
      <alignment horizontal="left" vertical="top" wrapText="1"/>
    </xf>
    <xf numFmtId="49" fontId="84" fillId="37" borderId="24" xfId="0" applyNumberFormat="1" applyFont="1" applyFill="1" applyBorder="1" applyAlignment="1">
      <alignment horizontal="left" vertical="top" wrapText="1"/>
    </xf>
    <xf numFmtId="49" fontId="84" fillId="37" borderId="21" xfId="0" applyNumberFormat="1" applyFont="1" applyFill="1" applyBorder="1" applyAlignment="1">
      <alignment horizontal="left" vertical="top" wrapText="1"/>
    </xf>
    <xf numFmtId="49" fontId="84" fillId="35" borderId="19" xfId="0" applyNumberFormat="1" applyFont="1" applyFill="1" applyBorder="1" applyAlignment="1">
      <alignment horizontal="left" vertical="top" wrapText="1"/>
    </xf>
    <xf numFmtId="49" fontId="84" fillId="35" borderId="21" xfId="0" applyNumberFormat="1" applyFont="1" applyFill="1" applyBorder="1" applyAlignment="1">
      <alignment horizontal="left" vertical="top" wrapText="1"/>
    </xf>
    <xf numFmtId="49" fontId="85" fillId="29" borderId="19" xfId="0" applyNumberFormat="1" applyFont="1" applyFill="1" applyBorder="1" applyAlignment="1">
      <alignment horizontal="left" vertical="top" wrapText="1"/>
    </xf>
    <xf numFmtId="166" fontId="101" fillId="29" borderId="14" xfId="0" applyNumberFormat="1" applyFont="1" applyFill="1" applyBorder="1" applyAlignment="1">
      <alignment horizontal="left" vertical="top"/>
    </xf>
    <xf numFmtId="166" fontId="101" fillId="29" borderId="21" xfId="0" applyNumberFormat="1" applyFont="1" applyFill="1" applyBorder="1" applyAlignment="1">
      <alignment horizontal="left" vertical="top"/>
    </xf>
    <xf numFmtId="166" fontId="119" fillId="29" borderId="21" xfId="0" applyNumberFormat="1" applyFont="1" applyFill="1" applyBorder="1" applyAlignment="1">
      <alignment horizontal="left" vertical="top"/>
    </xf>
    <xf numFmtId="166" fontId="116" fillId="29" borderId="14" xfId="0" applyNumberFormat="1" applyFont="1" applyFill="1" applyBorder="1" applyAlignment="1">
      <alignment horizontal="left" vertical="top"/>
    </xf>
    <xf numFmtId="166" fontId="116" fillId="29" borderId="21" xfId="0" applyNumberFormat="1" applyFont="1" applyFill="1" applyBorder="1" applyAlignment="1">
      <alignment horizontal="left" vertical="top"/>
    </xf>
    <xf numFmtId="9" fontId="84" fillId="28" borderId="14" xfId="22" applyFont="1" applyFill="1" applyBorder="1" applyAlignment="1">
      <alignment horizontal="left" vertical="top"/>
    </xf>
    <xf numFmtId="166" fontId="123" fillId="29" borderId="14" xfId="0" applyNumberFormat="1" applyFont="1" applyFill="1" applyBorder="1" applyAlignment="1">
      <alignment horizontal="left" vertical="top"/>
    </xf>
    <xf numFmtId="166" fontId="119" fillId="29" borderId="14" xfId="0" applyNumberFormat="1" applyFont="1" applyFill="1" applyBorder="1" applyAlignment="1">
      <alignment horizontal="left" vertical="top"/>
    </xf>
    <xf numFmtId="0" fontId="77" fillId="0" borderId="0" xfId="0" applyFont="1" applyAlignment="1">
      <alignment horizontal="left" vertical="center" wrapText="1"/>
    </xf>
    <xf numFmtId="0" fontId="77" fillId="0" borderId="0" xfId="0" applyFont="1" applyAlignment="1">
      <alignment horizontal="justify" vertical="center" wrapText="1"/>
    </xf>
    <xf numFmtId="0" fontId="107" fillId="0" borderId="0" xfId="0" applyFont="1"/>
    <xf numFmtId="166" fontId="84" fillId="11" borderId="14" xfId="0" applyNumberFormat="1" applyFont="1" applyFill="1" applyBorder="1" applyAlignment="1">
      <alignment vertical="center"/>
    </xf>
    <xf numFmtId="166" fontId="89" fillId="0" borderId="0" xfId="0" applyNumberFormat="1" applyFont="1" applyAlignment="1">
      <alignment vertical="center"/>
    </xf>
    <xf numFmtId="0" fontId="73" fillId="11" borderId="0" xfId="0" applyFont="1" applyFill="1" applyAlignment="1">
      <alignment vertical="center"/>
    </xf>
    <xf numFmtId="166" fontId="110" fillId="0" borderId="21" xfId="0" applyNumberFormat="1" applyFont="1" applyBorder="1" applyAlignment="1">
      <alignment vertical="center" wrapText="1"/>
    </xf>
    <xf numFmtId="9" fontId="110" fillId="0" borderId="14" xfId="22" applyFont="1" applyFill="1" applyBorder="1" applyAlignment="1">
      <alignment vertical="center" wrapText="1"/>
    </xf>
    <xf numFmtId="166" fontId="84" fillId="11" borderId="17" xfId="0" applyNumberFormat="1" applyFont="1" applyFill="1" applyBorder="1" applyAlignment="1">
      <alignment horizontal="center" vertical="center" wrapText="1"/>
    </xf>
    <xf numFmtId="49" fontId="126" fillId="25" borderId="14" xfId="0" applyNumberFormat="1" applyFont="1" applyFill="1" applyBorder="1" applyAlignment="1">
      <alignment horizontal="left" vertical="top" wrapText="1"/>
    </xf>
    <xf numFmtId="166" fontId="86" fillId="0" borderId="0" xfId="0" applyNumberFormat="1" applyFont="1" applyAlignment="1">
      <alignment vertical="center"/>
    </xf>
    <xf numFmtId="166" fontId="73" fillId="11" borderId="0" xfId="0" applyNumberFormat="1" applyFont="1" applyFill="1" applyAlignment="1">
      <alignment vertical="top"/>
    </xf>
    <xf numFmtId="0" fontId="73" fillId="11" borderId="0" xfId="0" applyFont="1" applyFill="1" applyAlignment="1">
      <alignment vertical="top"/>
    </xf>
    <xf numFmtId="0" fontId="80" fillId="16" borderId="0" xfId="0" applyFont="1" applyFill="1" applyAlignment="1">
      <alignment horizontal="center" vertical="center" wrapText="1"/>
    </xf>
    <xf numFmtId="0" fontId="93" fillId="16" borderId="0" xfId="0" applyFont="1" applyFill="1" applyAlignment="1">
      <alignment horizontal="center" vertical="center" wrapText="1"/>
    </xf>
    <xf numFmtId="166" fontId="77" fillId="0" borderId="0" xfId="0" applyNumberFormat="1" applyFont="1" applyAlignment="1">
      <alignment horizontal="center"/>
    </xf>
    <xf numFmtId="166" fontId="76" fillId="0" borderId="0" xfId="0" applyNumberFormat="1" applyFont="1" applyAlignment="1">
      <alignment horizontal="center"/>
    </xf>
    <xf numFmtId="166" fontId="76" fillId="17" borderId="0" xfId="0" applyNumberFormat="1" applyFont="1" applyFill="1" applyAlignment="1">
      <alignment horizontal="center" vertical="center" wrapText="1"/>
    </xf>
    <xf numFmtId="0" fontId="79" fillId="0" borderId="0" xfId="0" applyFont="1" applyAlignment="1">
      <alignment vertical="center" wrapText="1"/>
    </xf>
    <xf numFmtId="166" fontId="77" fillId="0" borderId="0" xfId="0" quotePrefix="1" applyNumberFormat="1" applyFont="1" applyAlignment="1">
      <alignment horizontal="center" vertical="center" wrapText="1"/>
    </xf>
    <xf numFmtId="166" fontId="96" fillId="29" borderId="0" xfId="0" quotePrefix="1" applyNumberFormat="1" applyFont="1" applyFill="1" applyAlignment="1">
      <alignment horizontal="center" vertical="center" wrapText="1"/>
    </xf>
    <xf numFmtId="166" fontId="77" fillId="0" borderId="0" xfId="0" applyNumberFormat="1" applyFont="1" applyAlignment="1">
      <alignment horizontal="center" vertical="center" wrapText="1"/>
    </xf>
    <xf numFmtId="9" fontId="79" fillId="0" borderId="0" xfId="22" applyFont="1" applyFill="1" applyBorder="1" applyAlignment="1">
      <alignment horizontal="center" vertical="center" wrapText="1"/>
    </xf>
    <xf numFmtId="167" fontId="99" fillId="39" borderId="0" xfId="0" applyNumberFormat="1" applyFont="1" applyFill="1"/>
    <xf numFmtId="166" fontId="99" fillId="39" borderId="0" xfId="0" applyNumberFormat="1" applyFont="1" applyFill="1"/>
    <xf numFmtId="0" fontId="132" fillId="0" borderId="0" xfId="0" applyFont="1"/>
    <xf numFmtId="0" fontId="92" fillId="11" borderId="0" xfId="0" applyFont="1" applyFill="1"/>
    <xf numFmtId="166" fontId="92" fillId="11" borderId="0" xfId="0" applyNumberFormat="1" applyFont="1" applyFill="1"/>
    <xf numFmtId="166" fontId="87" fillId="11" borderId="0" xfId="0" applyNumberFormat="1" applyFont="1" applyFill="1"/>
    <xf numFmtId="166" fontId="76" fillId="11" borderId="0" xfId="0" applyNumberFormat="1" applyFont="1" applyFill="1" applyAlignment="1">
      <alignment horizontal="center"/>
    </xf>
    <xf numFmtId="167" fontId="73" fillId="0" borderId="0" xfId="0" applyNumberFormat="1" applyFont="1"/>
    <xf numFmtId="0" fontId="73" fillId="0" borderId="0" xfId="0" applyFont="1" applyAlignment="1">
      <alignment horizontal="right"/>
    </xf>
    <xf numFmtId="166" fontId="77" fillId="0" borderId="14" xfId="0" quotePrefix="1" applyNumberFormat="1" applyFont="1" applyBorder="1" applyAlignment="1">
      <alignment horizontal="left" vertical="center" wrapText="1"/>
    </xf>
    <xf numFmtId="9" fontId="77" fillId="0" borderId="14" xfId="22" quotePrefix="1" applyFont="1" applyFill="1" applyBorder="1" applyAlignment="1">
      <alignment horizontal="left" vertical="center" wrapText="1"/>
    </xf>
    <xf numFmtId="0" fontId="133" fillId="0" borderId="0" xfId="0" applyFont="1"/>
    <xf numFmtId="166" fontId="133" fillId="0" borderId="0" xfId="0" applyNumberFormat="1" applyFont="1"/>
    <xf numFmtId="2" fontId="97" fillId="29" borderId="14" xfId="0" quotePrefix="1" applyNumberFormat="1" applyFont="1" applyFill="1" applyBorder="1" applyAlignment="1">
      <alignment horizontal="left" vertical="center" wrapText="1"/>
    </xf>
    <xf numFmtId="2" fontId="97" fillId="0" borderId="14" xfId="0" quotePrefix="1" applyNumberFormat="1" applyFont="1" applyBorder="1" applyAlignment="1">
      <alignment horizontal="left" vertical="center" wrapText="1"/>
    </xf>
    <xf numFmtId="166" fontId="76" fillId="0" borderId="14" xfId="0" applyNumberFormat="1" applyFont="1" applyBorder="1" applyAlignment="1">
      <alignment horizontal="left"/>
    </xf>
    <xf numFmtId="0" fontId="80" fillId="0" borderId="0" xfId="0" applyFont="1" applyAlignment="1">
      <alignment horizontal="center" vertical="center" wrapText="1"/>
    </xf>
    <xf numFmtId="0" fontId="93" fillId="0" borderId="0" xfId="0" applyFont="1" applyAlignment="1">
      <alignment horizontal="center" vertical="center" wrapText="1"/>
    </xf>
    <xf numFmtId="166" fontId="99" fillId="39" borderId="17" xfId="0" applyNumberFormat="1" applyFont="1" applyFill="1" applyBorder="1"/>
    <xf numFmtId="167" fontId="99" fillId="39" borderId="17" xfId="0" applyNumberFormat="1" applyFont="1" applyFill="1" applyBorder="1"/>
    <xf numFmtId="0" fontId="79" fillId="16" borderId="14" xfId="0" applyFont="1" applyFill="1" applyBorder="1" applyAlignment="1">
      <alignment horizontal="center" vertical="center" wrapText="1"/>
    </xf>
    <xf numFmtId="0" fontId="76" fillId="21" borderId="14" xfId="0" applyFont="1" applyFill="1" applyBorder="1" applyAlignment="1">
      <alignment horizontal="center" vertical="center" wrapText="1"/>
    </xf>
    <xf numFmtId="0" fontId="93" fillId="16" borderId="14" xfId="0" applyFont="1" applyFill="1" applyBorder="1" applyAlignment="1">
      <alignment horizontal="center" vertical="center" wrapText="1"/>
    </xf>
    <xf numFmtId="0" fontId="77" fillId="21" borderId="14" xfId="0" applyFont="1" applyFill="1" applyBorder="1" applyAlignment="1">
      <alignment horizontal="center" vertical="center" wrapText="1"/>
    </xf>
    <xf numFmtId="0" fontId="77" fillId="0" borderId="14" xfId="0" applyFont="1" applyBorder="1" applyAlignment="1">
      <alignment horizontal="center"/>
    </xf>
    <xf numFmtId="0" fontId="76" fillId="0" borderId="14" xfId="0" applyFont="1" applyBorder="1" applyAlignment="1">
      <alignment horizontal="right" wrapText="1"/>
    </xf>
    <xf numFmtId="166" fontId="76" fillId="21" borderId="14" xfId="0" applyNumberFormat="1" applyFont="1" applyFill="1" applyBorder="1" applyAlignment="1">
      <alignment horizontal="left" vertical="center" wrapText="1"/>
    </xf>
    <xf numFmtId="9" fontId="77" fillId="0" borderId="14" xfId="22" applyFont="1" applyFill="1" applyBorder="1" applyAlignment="1">
      <alignment horizontal="left" vertical="center" wrapText="1"/>
    </xf>
    <xf numFmtId="0" fontId="94" fillId="0" borderId="14" xfId="0" applyFont="1" applyBorder="1" applyAlignment="1">
      <alignment vertical="center"/>
    </xf>
    <xf numFmtId="0" fontId="72" fillId="0" borderId="0" xfId="0" applyFont="1" applyAlignment="1">
      <alignment horizontal="center" vertical="center" wrapText="1"/>
    </xf>
    <xf numFmtId="0" fontId="88" fillId="0" borderId="0" xfId="0" applyFont="1" applyAlignment="1">
      <alignment vertical="center"/>
    </xf>
    <xf numFmtId="166" fontId="76" fillId="17" borderId="14" xfId="0" applyNumberFormat="1" applyFont="1" applyFill="1" applyBorder="1" applyAlignment="1">
      <alignment horizontal="left" vertical="center"/>
    </xf>
    <xf numFmtId="9" fontId="76" fillId="17" borderId="14" xfId="22" quotePrefix="1" applyFont="1" applyFill="1" applyBorder="1" applyAlignment="1">
      <alignment horizontal="left" vertical="center" wrapText="1"/>
    </xf>
    <xf numFmtId="0" fontId="77" fillId="0" borderId="14" xfId="0" applyFont="1" applyBorder="1" applyAlignment="1">
      <alignment horizontal="left"/>
    </xf>
    <xf numFmtId="166" fontId="77" fillId="0" borderId="14" xfId="0" applyNumberFormat="1" applyFont="1" applyBorder="1" applyAlignment="1">
      <alignment horizontal="left"/>
    </xf>
    <xf numFmtId="9" fontId="77" fillId="0" borderId="14" xfId="22" applyFont="1" applyFill="1" applyBorder="1" applyAlignment="1">
      <alignment horizontal="left"/>
    </xf>
    <xf numFmtId="9" fontId="76" fillId="21" borderId="14" xfId="22" applyFont="1" applyFill="1" applyBorder="1" applyAlignment="1">
      <alignment horizontal="left" vertical="center"/>
    </xf>
    <xf numFmtId="0" fontId="85" fillId="0" borderId="0" xfId="0" applyFont="1" applyAlignment="1">
      <alignment horizontal="left" wrapText="1"/>
    </xf>
    <xf numFmtId="0" fontId="85" fillId="0" borderId="0" xfId="0" applyFont="1" applyAlignment="1">
      <alignment horizontal="left"/>
    </xf>
    <xf numFmtId="0" fontId="85" fillId="0" borderId="0" xfId="0" applyFont="1" applyAlignment="1">
      <alignment vertical="top" wrapText="1"/>
    </xf>
    <xf numFmtId="0" fontId="85" fillId="0" borderId="0" xfId="0" applyFont="1" applyAlignment="1">
      <alignment horizontal="center" vertical="top" wrapText="1"/>
    </xf>
    <xf numFmtId="49" fontId="126" fillId="29" borderId="14" xfId="0" applyNumberFormat="1" applyFont="1" applyFill="1" applyBorder="1" applyAlignment="1">
      <alignment horizontal="left" vertical="top" wrapText="1"/>
    </xf>
    <xf numFmtId="0" fontId="116" fillId="0" borderId="0" xfId="0" applyFont="1"/>
    <xf numFmtId="166" fontId="116" fillId="0" borderId="0" xfId="0" applyNumberFormat="1" applyFont="1"/>
    <xf numFmtId="0" fontId="103" fillId="0" borderId="0" xfId="0" applyFont="1" applyAlignment="1">
      <alignment vertical="top" wrapText="1"/>
    </xf>
    <xf numFmtId="0" fontId="137" fillId="0" borderId="0" xfId="0" applyFont="1" applyAlignment="1">
      <alignment horizontal="center" vertical="top" wrapText="1"/>
    </xf>
    <xf numFmtId="0" fontId="84" fillId="0" borderId="0" xfId="0" applyFont="1" applyAlignment="1">
      <alignment vertical="top" wrapText="1"/>
    </xf>
    <xf numFmtId="0" fontId="85" fillId="0" borderId="0" xfId="0" applyFont="1" applyAlignment="1">
      <alignment horizontal="center" vertical="top"/>
    </xf>
    <xf numFmtId="49" fontId="86" fillId="29" borderId="14" xfId="0" applyNumberFormat="1" applyFont="1" applyFill="1" applyBorder="1" applyAlignment="1">
      <alignment horizontal="left" vertical="top"/>
    </xf>
    <xf numFmtId="166" fontId="116" fillId="29" borderId="24" xfId="0" applyNumberFormat="1" applyFont="1" applyFill="1" applyBorder="1" applyAlignment="1">
      <alignment horizontal="left" vertical="top"/>
    </xf>
    <xf numFmtId="49" fontId="116" fillId="29" borderId="24" xfId="0" applyNumberFormat="1" applyFont="1" applyFill="1" applyBorder="1" applyAlignment="1">
      <alignment horizontal="left" vertical="top" wrapText="1"/>
    </xf>
    <xf numFmtId="49" fontId="116" fillId="29" borderId="14" xfId="0" applyNumberFormat="1" applyFont="1" applyFill="1" applyBorder="1" applyAlignment="1">
      <alignment horizontal="left" vertical="top" wrapText="1"/>
    </xf>
    <xf numFmtId="49" fontId="116" fillId="29" borderId="14" xfId="0" applyNumberFormat="1" applyFont="1" applyFill="1" applyBorder="1" applyAlignment="1">
      <alignment horizontal="left" vertical="top"/>
    </xf>
    <xf numFmtId="49" fontId="116" fillId="30" borderId="14" xfId="0" applyNumberFormat="1" applyFont="1" applyFill="1" applyBorder="1" applyAlignment="1">
      <alignment horizontal="left" vertical="top" wrapText="1"/>
    </xf>
    <xf numFmtId="49" fontId="116" fillId="30" borderId="14" xfId="0" quotePrefix="1" applyNumberFormat="1" applyFont="1" applyFill="1" applyBorder="1" applyAlignment="1">
      <alignment horizontal="left" vertical="top" wrapText="1"/>
    </xf>
    <xf numFmtId="0" fontId="120" fillId="0" borderId="0" xfId="0" applyFont="1" applyAlignment="1">
      <alignment vertical="center" wrapText="1"/>
    </xf>
    <xf numFmtId="0" fontId="119" fillId="0" borderId="0" xfId="0" applyFont="1" applyAlignment="1">
      <alignment vertical="center" wrapText="1"/>
    </xf>
    <xf numFmtId="0" fontId="116" fillId="0" borderId="0" xfId="0" applyFont="1" applyAlignment="1">
      <alignment vertical="center"/>
    </xf>
    <xf numFmtId="49" fontId="119" fillId="0" borderId="0" xfId="0" applyNumberFormat="1" applyFont="1" applyAlignment="1">
      <alignment horizontal="left" vertical="top" wrapText="1"/>
    </xf>
    <xf numFmtId="49" fontId="119" fillId="0" borderId="0" xfId="0" applyNumberFormat="1" applyFont="1" applyAlignment="1">
      <alignment horizontal="center" vertical="top" wrapText="1"/>
    </xf>
    <xf numFmtId="0" fontId="119" fillId="0" borderId="0" xfId="0" applyFont="1" applyAlignment="1">
      <alignment horizontal="left" vertical="top" wrapText="1"/>
    </xf>
    <xf numFmtId="0" fontId="84" fillId="0" borderId="0" xfId="0" applyFont="1"/>
    <xf numFmtId="49" fontId="73" fillId="0" borderId="0" xfId="0" applyNumberFormat="1" applyFont="1"/>
    <xf numFmtId="0" fontId="85" fillId="0" borderId="14" xfId="0" applyFont="1" applyBorder="1" applyAlignment="1">
      <alignment horizontal="left" vertical="top" wrapText="1"/>
    </xf>
    <xf numFmtId="0" fontId="84" fillId="0" borderId="21" xfId="0" applyFont="1" applyBorder="1" applyAlignment="1">
      <alignment vertical="top" wrapText="1"/>
    </xf>
    <xf numFmtId="0" fontId="84" fillId="0" borderId="14" xfId="0" applyFont="1" applyBorder="1" applyAlignment="1">
      <alignment vertical="top" wrapText="1"/>
    </xf>
    <xf numFmtId="0" fontId="84" fillId="0" borderId="24" xfId="0" applyFont="1" applyBorder="1" applyAlignment="1">
      <alignment vertical="top"/>
    </xf>
    <xf numFmtId="0" fontId="84" fillId="0" borderId="21" xfId="0" applyFont="1" applyBorder="1" applyAlignment="1">
      <alignment vertical="top"/>
    </xf>
    <xf numFmtId="0" fontId="84" fillId="0" borderId="14" xfId="0" applyFont="1" applyBorder="1" applyAlignment="1">
      <alignment horizontal="left" vertical="top"/>
    </xf>
    <xf numFmtId="0" fontId="0" fillId="0" borderId="86" xfId="0" applyBorder="1"/>
    <xf numFmtId="0" fontId="0" fillId="0" borderId="87" xfId="0" applyBorder="1"/>
    <xf numFmtId="0" fontId="0" fillId="0" borderId="88" xfId="0" applyBorder="1"/>
    <xf numFmtId="0" fontId="85" fillId="0" borderId="38" xfId="0" applyFont="1" applyBorder="1" applyAlignment="1">
      <alignment vertical="center" wrapText="1"/>
    </xf>
    <xf numFmtId="49" fontId="85" fillId="0" borderId="14" xfId="0" applyNumberFormat="1" applyFont="1" applyBorder="1" applyAlignment="1">
      <alignment horizontal="left" vertical="top" wrapText="1"/>
    </xf>
    <xf numFmtId="0" fontId="103" fillId="0" borderId="31" xfId="0" applyFont="1" applyBorder="1" applyAlignment="1">
      <alignment horizontal="center" vertical="center" wrapText="1"/>
    </xf>
    <xf numFmtId="0" fontId="84" fillId="18" borderId="14" xfId="0" applyFont="1" applyFill="1" applyBorder="1" applyAlignment="1">
      <alignment horizontal="left" vertical="top" wrapText="1"/>
    </xf>
    <xf numFmtId="0" fontId="85" fillId="29" borderId="14" xfId="0" applyFont="1" applyFill="1" applyBorder="1" applyAlignment="1">
      <alignment horizontal="left" vertical="top" wrapText="1"/>
    </xf>
    <xf numFmtId="166" fontId="85" fillId="0" borderId="21" xfId="0" applyNumberFormat="1" applyFont="1" applyBorder="1" applyAlignment="1">
      <alignment horizontal="left" vertical="top" wrapText="1"/>
    </xf>
    <xf numFmtId="166" fontId="85" fillId="0" borderId="14" xfId="0" applyNumberFormat="1" applyFont="1" applyBorder="1" applyAlignment="1">
      <alignment horizontal="left" vertical="top"/>
    </xf>
    <xf numFmtId="166" fontId="85" fillId="0" borderId="19" xfId="0" applyNumberFormat="1" applyFont="1" applyBorder="1" applyAlignment="1">
      <alignment horizontal="left" vertical="top" wrapText="1"/>
    </xf>
    <xf numFmtId="166" fontId="85" fillId="0" borderId="14" xfId="0" applyNumberFormat="1" applyFont="1" applyBorder="1" applyAlignment="1">
      <alignment horizontal="left" vertical="top" wrapText="1"/>
    </xf>
    <xf numFmtId="166" fontId="101" fillId="0" borderId="14" xfId="0" applyNumberFormat="1" applyFont="1" applyBorder="1" applyAlignment="1">
      <alignment horizontal="left" vertical="top"/>
    </xf>
    <xf numFmtId="166" fontId="85" fillId="0" borderId="21" xfId="0" applyNumberFormat="1" applyFont="1" applyBorder="1" applyAlignment="1">
      <alignment horizontal="left" vertical="top"/>
    </xf>
    <xf numFmtId="166" fontId="85" fillId="0" borderId="24" xfId="0" applyNumberFormat="1" applyFont="1" applyBorder="1" applyAlignment="1">
      <alignment horizontal="left" vertical="top" wrapText="1"/>
    </xf>
    <xf numFmtId="0" fontId="85" fillId="0" borderId="0" xfId="0" applyFont="1" applyAlignment="1">
      <alignment horizontal="left" vertical="top"/>
    </xf>
    <xf numFmtId="2" fontId="85" fillId="29" borderId="21" xfId="0" applyNumberFormat="1" applyFont="1" applyFill="1" applyBorder="1" applyAlignment="1">
      <alignment horizontal="left" vertical="top" wrapText="1"/>
    </xf>
    <xf numFmtId="49" fontId="85" fillId="0" borderId="37" xfId="0" applyNumberFormat="1" applyFont="1" applyBorder="1" applyAlignment="1">
      <alignment horizontal="left" vertical="top" wrapText="1"/>
    </xf>
    <xf numFmtId="166" fontId="85" fillId="29" borderId="19" xfId="0" applyNumberFormat="1" applyFont="1" applyFill="1" applyBorder="1" applyAlignment="1">
      <alignment horizontal="left" vertical="top" wrapText="1"/>
    </xf>
    <xf numFmtId="166" fontId="85" fillId="25" borderId="21" xfId="0" applyNumberFormat="1" applyFont="1" applyFill="1" applyBorder="1" applyAlignment="1">
      <alignment horizontal="left" vertical="top"/>
    </xf>
    <xf numFmtId="49" fontId="85" fillId="0" borderId="65" xfId="0" applyNumberFormat="1" applyFont="1" applyBorder="1" applyAlignment="1">
      <alignment horizontal="left" vertical="top" wrapText="1"/>
    </xf>
    <xf numFmtId="166" fontId="85" fillId="35" borderId="14" xfId="0" applyNumberFormat="1" applyFont="1" applyFill="1" applyBorder="1" applyAlignment="1">
      <alignment horizontal="left" vertical="top"/>
    </xf>
    <xf numFmtId="49" fontId="85" fillId="0" borderId="14" xfId="0" applyNumberFormat="1" applyFont="1" applyBorder="1" applyAlignment="1">
      <alignment horizontal="left" vertical="top"/>
    </xf>
    <xf numFmtId="0" fontId="85" fillId="0" borderId="14" xfId="0" applyFont="1" applyBorder="1" applyAlignment="1">
      <alignment horizontal="left" vertical="top"/>
    </xf>
    <xf numFmtId="166" fontId="85" fillId="0" borderId="19" xfId="0" applyNumberFormat="1" applyFont="1" applyBorder="1" applyAlignment="1">
      <alignment horizontal="left" vertical="top"/>
    </xf>
    <xf numFmtId="49" fontId="85" fillId="0" borderId="21" xfId="0" applyNumberFormat="1" applyFont="1" applyBorder="1" applyAlignment="1">
      <alignment horizontal="left" vertical="top"/>
    </xf>
    <xf numFmtId="0" fontId="0" fillId="0" borderId="0" xfId="0" applyAlignment="1">
      <alignment horizontal="left"/>
    </xf>
    <xf numFmtId="0" fontId="107" fillId="0" borderId="0" xfId="0" applyFont="1" applyAlignment="1">
      <alignment vertical="center"/>
    </xf>
    <xf numFmtId="0" fontId="107" fillId="0" borderId="84" xfId="0" applyFont="1" applyBorder="1" applyAlignment="1">
      <alignment vertical="center"/>
    </xf>
    <xf numFmtId="0" fontId="107" fillId="0" borderId="85" xfId="0" applyFont="1" applyBorder="1" applyAlignment="1">
      <alignment vertical="center"/>
    </xf>
    <xf numFmtId="0" fontId="135" fillId="0" borderId="84" xfId="0" applyFont="1" applyBorder="1" applyAlignment="1">
      <alignment vertical="center" wrapText="1"/>
    </xf>
    <xf numFmtId="0" fontId="125" fillId="0" borderId="84" xfId="0" applyFont="1" applyBorder="1" applyAlignment="1">
      <alignment vertical="center"/>
    </xf>
    <xf numFmtId="0" fontId="107" fillId="0" borderId="86" xfId="0" applyFont="1" applyBorder="1" applyAlignment="1">
      <alignment vertical="center"/>
    </xf>
    <xf numFmtId="0" fontId="107" fillId="0" borderId="87" xfId="0" applyFont="1" applyBorder="1" applyAlignment="1">
      <alignment vertical="center"/>
    </xf>
    <xf numFmtId="0" fontId="107" fillId="0" borderId="88" xfId="0" applyFont="1" applyBorder="1" applyAlignment="1">
      <alignment vertical="center"/>
    </xf>
    <xf numFmtId="0" fontId="15" fillId="0" borderId="0" xfId="0" applyFont="1" applyAlignment="1">
      <alignment vertical="center"/>
    </xf>
    <xf numFmtId="0" fontId="107" fillId="0" borderId="0" xfId="0" applyFont="1" applyAlignment="1">
      <alignment horizontal="center"/>
    </xf>
    <xf numFmtId="0" fontId="107" fillId="0" borderId="84" xfId="0" applyFont="1" applyBorder="1"/>
    <xf numFmtId="0" fontId="134" fillId="0" borderId="0" xfId="0" applyFont="1" applyAlignment="1">
      <alignment horizontal="justify" vertical="center"/>
    </xf>
    <xf numFmtId="0" fontId="107" fillId="0" borderId="85" xfId="0" applyFont="1" applyBorder="1"/>
    <xf numFmtId="0" fontId="107" fillId="0" borderId="14" xfId="0" applyFont="1" applyBorder="1" applyAlignment="1">
      <alignment horizontal="center" vertical="center" wrapText="1"/>
    </xf>
    <xf numFmtId="0" fontId="107" fillId="0" borderId="80" xfId="0" applyFont="1" applyBorder="1"/>
    <xf numFmtId="0" fontId="107" fillId="0" borderId="86" xfId="0" applyFont="1" applyBorder="1"/>
    <xf numFmtId="0" fontId="107" fillId="0" borderId="87" xfId="0" applyFont="1" applyBorder="1"/>
    <xf numFmtId="0" fontId="107" fillId="0" borderId="87" xfId="0" applyFont="1" applyBorder="1" applyAlignment="1">
      <alignment horizontal="center"/>
    </xf>
    <xf numFmtId="0" fontId="107" fillId="0" borderId="88" xfId="0" applyFont="1" applyBorder="1"/>
    <xf numFmtId="0" fontId="107" fillId="0" borderId="113" xfId="0" applyFont="1" applyBorder="1"/>
    <xf numFmtId="0" fontId="125" fillId="17" borderId="111" xfId="0" applyFont="1" applyFill="1" applyBorder="1" applyAlignment="1">
      <alignment vertical="center"/>
    </xf>
    <xf numFmtId="0" fontId="125" fillId="17" borderId="107" xfId="0" applyFont="1" applyFill="1" applyBorder="1" applyAlignment="1">
      <alignment vertical="center"/>
    </xf>
    <xf numFmtId="0" fontId="118" fillId="17" borderId="107" xfId="0" applyFont="1" applyFill="1" applyBorder="1" applyAlignment="1">
      <alignment vertical="center"/>
    </xf>
    <xf numFmtId="0" fontId="0" fillId="0" borderId="84" xfId="0" applyBorder="1" applyAlignment="1">
      <alignment horizontal="center" vertical="center"/>
    </xf>
    <xf numFmtId="0" fontId="0" fillId="0" borderId="85" xfId="0" applyBorder="1" applyAlignment="1">
      <alignment horizontal="center" vertical="center"/>
    </xf>
    <xf numFmtId="0" fontId="0" fillId="0" borderId="0" xfId="0" applyAlignment="1">
      <alignment horizontal="center" vertical="center"/>
    </xf>
    <xf numFmtId="0" fontId="0" fillId="0" borderId="85" xfId="0" applyBorder="1" applyAlignment="1">
      <alignment horizontal="left"/>
    </xf>
    <xf numFmtId="9" fontId="76" fillId="21" borderId="14" xfId="22" quotePrefix="1" applyFont="1" applyFill="1" applyBorder="1" applyAlignment="1">
      <alignment horizontal="left" vertical="center" wrapText="1"/>
    </xf>
    <xf numFmtId="49" fontId="84" fillId="28" borderId="14" xfId="0" applyNumberFormat="1" applyFont="1" applyFill="1" applyBorder="1" applyAlignment="1">
      <alignment horizontal="left" vertical="top" wrapText="1"/>
    </xf>
    <xf numFmtId="0" fontId="85" fillId="28" borderId="14" xfId="0" applyFont="1" applyFill="1" applyBorder="1" applyAlignment="1">
      <alignment horizontal="left" vertical="top" textRotation="90" wrapText="1"/>
    </xf>
    <xf numFmtId="166" fontId="84" fillId="28" borderId="14" xfId="0" applyNumberFormat="1" applyFont="1" applyFill="1" applyBorder="1" applyAlignment="1">
      <alignment horizontal="left" vertical="top" wrapText="1"/>
    </xf>
    <xf numFmtId="9" fontId="84" fillId="28" borderId="14" xfId="22" applyFont="1" applyFill="1" applyBorder="1" applyAlignment="1">
      <alignment horizontal="left" vertical="top" wrapText="1"/>
    </xf>
    <xf numFmtId="0" fontId="84" fillId="28" borderId="35" xfId="0" applyFont="1" applyFill="1" applyBorder="1" applyAlignment="1">
      <alignment horizontal="left" vertical="top" wrapText="1"/>
    </xf>
    <xf numFmtId="0" fontId="84" fillId="28" borderId="21" xfId="0" applyFont="1" applyFill="1" applyBorder="1" applyAlignment="1">
      <alignment horizontal="left" vertical="top"/>
    </xf>
    <xf numFmtId="0" fontId="84" fillId="27" borderId="21" xfId="0" applyFont="1" applyFill="1" applyBorder="1" applyAlignment="1">
      <alignment horizontal="left" vertical="top" wrapText="1"/>
    </xf>
    <xf numFmtId="0" fontId="85" fillId="27" borderId="33" xfId="0" applyFont="1" applyFill="1" applyBorder="1" applyAlignment="1">
      <alignment horizontal="left" vertical="top" textRotation="90" wrapText="1"/>
    </xf>
    <xf numFmtId="166" fontId="84" fillId="28" borderId="21" xfId="0" applyNumberFormat="1" applyFont="1" applyFill="1" applyBorder="1" applyAlignment="1">
      <alignment horizontal="left" vertical="top"/>
    </xf>
    <xf numFmtId="166" fontId="102" fillId="28" borderId="14" xfId="0" applyNumberFormat="1" applyFont="1" applyFill="1" applyBorder="1" applyAlignment="1">
      <alignment horizontal="left" vertical="top"/>
    </xf>
    <xf numFmtId="49" fontId="84" fillId="27" borderId="21" xfId="0" applyNumberFormat="1" applyFont="1" applyFill="1" applyBorder="1" applyAlignment="1">
      <alignment horizontal="left" vertical="top" wrapText="1"/>
    </xf>
    <xf numFmtId="49" fontId="84" fillId="0" borderId="14" xfId="0" applyNumberFormat="1" applyFont="1" applyBorder="1" applyAlignment="1">
      <alignment horizontal="left" vertical="top" wrapText="1"/>
    </xf>
    <xf numFmtId="166" fontId="84" fillId="0" borderId="14" xfId="0" applyNumberFormat="1" applyFont="1" applyBorder="1" applyAlignment="1">
      <alignment horizontal="left" vertical="top"/>
    </xf>
    <xf numFmtId="9" fontId="84" fillId="0" borderId="14" xfId="22" applyFont="1" applyBorder="1" applyAlignment="1">
      <alignment horizontal="left" vertical="top"/>
    </xf>
    <xf numFmtId="166" fontId="84" fillId="0" borderId="14" xfId="0" applyNumberFormat="1" applyFont="1" applyBorder="1" applyAlignment="1">
      <alignment horizontal="left" vertical="top" wrapText="1"/>
    </xf>
    <xf numFmtId="1" fontId="85" fillId="0" borderId="14" xfId="0" applyNumberFormat="1" applyFont="1" applyBorder="1" applyAlignment="1">
      <alignment horizontal="left" vertical="top" wrapText="1"/>
    </xf>
    <xf numFmtId="0" fontId="84" fillId="21" borderId="14" xfId="0" applyFont="1" applyFill="1" applyBorder="1" applyAlignment="1">
      <alignment horizontal="left" vertical="top"/>
    </xf>
    <xf numFmtId="166" fontId="84" fillId="21" borderId="14" xfId="0" applyNumberFormat="1" applyFont="1" applyFill="1" applyBorder="1" applyAlignment="1">
      <alignment horizontal="left" vertical="top"/>
    </xf>
    <xf numFmtId="9" fontId="84" fillId="21" borderId="14" xfId="22" applyFont="1" applyFill="1" applyBorder="1" applyAlignment="1">
      <alignment horizontal="left" vertical="top"/>
    </xf>
    <xf numFmtId="0" fontId="85" fillId="0" borderId="54" xfId="0" applyFont="1" applyBorder="1" applyAlignment="1">
      <alignment horizontal="left" vertical="top"/>
    </xf>
    <xf numFmtId="0" fontId="116" fillId="30" borderId="9" xfId="0" applyFont="1" applyFill="1" applyBorder="1" applyAlignment="1">
      <alignment horizontal="left" vertical="top" wrapText="1"/>
    </xf>
    <xf numFmtId="49" fontId="116" fillId="29" borderId="18" xfId="0" applyNumberFormat="1" applyFont="1" applyFill="1" applyBorder="1" applyAlignment="1">
      <alignment horizontal="left" vertical="top"/>
    </xf>
    <xf numFmtId="0" fontId="116" fillId="29" borderId="9" xfId="0" applyFont="1" applyFill="1" applyBorder="1" applyAlignment="1">
      <alignment horizontal="left" vertical="top"/>
    </xf>
    <xf numFmtId="166" fontId="116" fillId="31" borderId="21" xfId="0" applyNumberFormat="1" applyFont="1" applyFill="1" applyBorder="1" applyAlignment="1">
      <alignment horizontal="left" vertical="top"/>
    </xf>
    <xf numFmtId="166" fontId="84" fillId="29" borderId="21" xfId="0" applyNumberFormat="1" applyFont="1" applyFill="1" applyBorder="1" applyAlignment="1">
      <alignment horizontal="left" vertical="top"/>
    </xf>
    <xf numFmtId="0" fontId="85" fillId="29" borderId="21" xfId="0" applyFont="1" applyFill="1" applyBorder="1" applyAlignment="1">
      <alignment horizontal="left" vertical="top"/>
    </xf>
    <xf numFmtId="0" fontId="116" fillId="30" borderId="6" xfId="0" applyFont="1" applyFill="1" applyBorder="1" applyAlignment="1">
      <alignment horizontal="left" vertical="top" wrapText="1"/>
    </xf>
    <xf numFmtId="49" fontId="116" fillId="29" borderId="58" xfId="0" applyNumberFormat="1" applyFont="1" applyFill="1" applyBorder="1" applyAlignment="1">
      <alignment horizontal="left" vertical="top"/>
    </xf>
    <xf numFmtId="0" fontId="116" fillId="29" borderId="6" xfId="0" applyFont="1" applyFill="1" applyBorder="1" applyAlignment="1">
      <alignment horizontal="left" vertical="top"/>
    </xf>
    <xf numFmtId="166" fontId="116" fillId="31" borderId="14" xfId="0" applyNumberFormat="1" applyFont="1" applyFill="1" applyBorder="1" applyAlignment="1">
      <alignment horizontal="left" vertical="top"/>
    </xf>
    <xf numFmtId="166" fontId="84" fillId="29" borderId="14" xfId="0" applyNumberFormat="1" applyFont="1" applyFill="1" applyBorder="1" applyAlignment="1">
      <alignment horizontal="left" vertical="top"/>
    </xf>
    <xf numFmtId="0" fontId="85" fillId="29" borderId="14" xfId="0" applyFont="1" applyFill="1" applyBorder="1" applyAlignment="1">
      <alignment horizontal="left" vertical="top"/>
    </xf>
    <xf numFmtId="0" fontId="116" fillId="30" borderId="7" xfId="0" applyFont="1" applyFill="1" applyBorder="1" applyAlignment="1">
      <alignment horizontal="left" vertical="top" wrapText="1"/>
    </xf>
    <xf numFmtId="0" fontId="116" fillId="30" borderId="7" xfId="0" applyFont="1" applyFill="1" applyBorder="1" applyAlignment="1">
      <alignment horizontal="left" vertical="top" textRotation="90" wrapText="1"/>
    </xf>
    <xf numFmtId="0" fontId="85" fillId="0" borderId="19" xfId="0" applyFont="1" applyBorder="1" applyAlignment="1">
      <alignment horizontal="left" vertical="top"/>
    </xf>
    <xf numFmtId="0" fontId="85" fillId="0" borderId="6" xfId="0" applyFont="1" applyBorder="1" applyAlignment="1">
      <alignment horizontal="left" vertical="top"/>
    </xf>
    <xf numFmtId="9" fontId="84" fillId="0" borderId="0" xfId="22" applyFont="1" applyBorder="1" applyAlignment="1">
      <alignment horizontal="left" vertical="top"/>
    </xf>
    <xf numFmtId="0" fontId="85" fillId="0" borderId="21" xfId="0" applyFont="1" applyBorder="1" applyAlignment="1">
      <alignment horizontal="left" vertical="top"/>
    </xf>
    <xf numFmtId="0" fontId="84" fillId="21" borderId="6" xfId="0" applyFont="1" applyFill="1" applyBorder="1" applyAlignment="1">
      <alignment horizontal="left" vertical="top"/>
    </xf>
    <xf numFmtId="9" fontId="84" fillId="21" borderId="15" xfId="22" applyFont="1" applyFill="1" applyBorder="1" applyAlignment="1">
      <alignment horizontal="left" vertical="top"/>
    </xf>
    <xf numFmtId="166" fontId="84" fillId="0" borderId="21" xfId="0" applyNumberFormat="1" applyFont="1" applyBorder="1" applyAlignment="1">
      <alignment horizontal="left" vertical="top" wrapText="1"/>
    </xf>
    <xf numFmtId="0" fontId="84" fillId="21" borderId="7" xfId="0" applyFont="1" applyFill="1" applyBorder="1" applyAlignment="1">
      <alignment horizontal="left" vertical="top"/>
    </xf>
    <xf numFmtId="166" fontId="84" fillId="21" borderId="19" xfId="0" applyNumberFormat="1" applyFont="1" applyFill="1" applyBorder="1" applyAlignment="1">
      <alignment horizontal="left" vertical="top"/>
    </xf>
    <xf numFmtId="9" fontId="84" fillId="21" borderId="31" xfId="22" applyFont="1" applyFill="1" applyBorder="1" applyAlignment="1">
      <alignment horizontal="left" vertical="top"/>
    </xf>
    <xf numFmtId="0" fontId="85" fillId="0" borderId="9" xfId="0" applyFont="1" applyBorder="1" applyAlignment="1">
      <alignment horizontal="left" vertical="top"/>
    </xf>
    <xf numFmtId="166" fontId="84" fillId="0" borderId="21" xfId="0" applyNumberFormat="1" applyFont="1" applyBorder="1" applyAlignment="1">
      <alignment horizontal="left" vertical="top"/>
    </xf>
    <xf numFmtId="9" fontId="85" fillId="0" borderId="14" xfId="22" applyFont="1" applyBorder="1" applyAlignment="1">
      <alignment horizontal="left" vertical="top"/>
    </xf>
    <xf numFmtId="0" fontId="85" fillId="0" borderId="98" xfId="0" applyFont="1" applyBorder="1" applyAlignment="1">
      <alignment horizontal="left" vertical="top" textRotation="90" wrapText="1"/>
    </xf>
    <xf numFmtId="0" fontId="85" fillId="29" borderId="19" xfId="0" applyFont="1" applyFill="1" applyBorder="1" applyAlignment="1">
      <alignment horizontal="left" vertical="top" wrapText="1"/>
    </xf>
    <xf numFmtId="0" fontId="85" fillId="29" borderId="8" xfId="0" applyFont="1" applyFill="1" applyBorder="1" applyAlignment="1">
      <alignment horizontal="left" vertical="top"/>
    </xf>
    <xf numFmtId="0" fontId="85" fillId="21" borderId="6" xfId="0" applyFont="1" applyFill="1" applyBorder="1" applyAlignment="1">
      <alignment horizontal="left" vertical="top"/>
    </xf>
    <xf numFmtId="0" fontId="101" fillId="24" borderId="6" xfId="0" applyFont="1" applyFill="1" applyBorder="1" applyAlignment="1">
      <alignment horizontal="left" vertical="top"/>
    </xf>
    <xf numFmtId="166" fontId="104" fillId="0" borderId="14" xfId="0" applyNumberFormat="1" applyFont="1" applyBorder="1" applyAlignment="1">
      <alignment horizontal="left" vertical="top"/>
    </xf>
    <xf numFmtId="166" fontId="84" fillId="0" borderId="0" xfId="0" applyNumberFormat="1" applyFont="1" applyAlignment="1">
      <alignment horizontal="left" vertical="top"/>
    </xf>
    <xf numFmtId="9" fontId="84" fillId="0" borderId="8" xfId="22" applyFont="1" applyBorder="1" applyAlignment="1">
      <alignment horizontal="left" vertical="top"/>
    </xf>
    <xf numFmtId="0" fontId="85" fillId="0" borderId="91" xfId="0" applyFont="1" applyBorder="1" applyAlignment="1">
      <alignment horizontal="left" vertical="top"/>
    </xf>
    <xf numFmtId="9" fontId="104" fillId="0" borderId="14" xfId="22" applyFont="1" applyBorder="1" applyAlignment="1">
      <alignment horizontal="left" vertical="top"/>
    </xf>
    <xf numFmtId="9" fontId="84" fillId="21" borderId="19" xfId="22" applyFont="1" applyFill="1" applyBorder="1" applyAlignment="1">
      <alignment horizontal="left" vertical="top"/>
    </xf>
    <xf numFmtId="49" fontId="101" fillId="0" borderId="21" xfId="0" applyNumberFormat="1" applyFont="1" applyBorder="1" applyAlignment="1">
      <alignment horizontal="left" vertical="top" wrapText="1"/>
    </xf>
    <xf numFmtId="9" fontId="84" fillId="0" borderId="37" xfId="22" applyFont="1" applyBorder="1" applyAlignment="1">
      <alignment horizontal="left" vertical="top"/>
    </xf>
    <xf numFmtId="0" fontId="85" fillId="29" borderId="24" xfId="0" applyFont="1" applyFill="1" applyBorder="1" applyAlignment="1">
      <alignment horizontal="left" vertical="top"/>
    </xf>
    <xf numFmtId="0" fontId="85" fillId="29" borderId="98" xfId="0" applyFont="1" applyFill="1" applyBorder="1" applyAlignment="1">
      <alignment horizontal="left" vertical="top" textRotation="90" wrapText="1"/>
    </xf>
    <xf numFmtId="0" fontId="84" fillId="29" borderId="6" xfId="0" applyFont="1" applyFill="1" applyBorder="1" applyAlignment="1">
      <alignment horizontal="left" vertical="top"/>
    </xf>
    <xf numFmtId="166" fontId="84" fillId="29" borderId="15" xfId="0" applyNumberFormat="1" applyFont="1" applyFill="1" applyBorder="1" applyAlignment="1">
      <alignment horizontal="left" vertical="top"/>
    </xf>
    <xf numFmtId="49" fontId="84" fillId="29" borderId="14" xfId="0" applyNumberFormat="1" applyFont="1" applyFill="1" applyBorder="1" applyAlignment="1">
      <alignment horizontal="left" vertical="top" wrapText="1"/>
    </xf>
    <xf numFmtId="166" fontId="85" fillId="23" borderId="14" xfId="0" applyNumberFormat="1" applyFont="1" applyFill="1" applyBorder="1" applyAlignment="1">
      <alignment horizontal="left" vertical="top"/>
    </xf>
    <xf numFmtId="49" fontId="84" fillId="29" borderId="19" xfId="0" applyNumberFormat="1" applyFont="1" applyFill="1" applyBorder="1" applyAlignment="1">
      <alignment horizontal="left" vertical="top" wrapText="1"/>
    </xf>
    <xf numFmtId="9" fontId="84" fillId="0" borderId="15" xfId="22" applyFont="1" applyBorder="1" applyAlignment="1">
      <alignment horizontal="left" vertical="top"/>
    </xf>
    <xf numFmtId="0" fontId="84" fillId="21" borderId="19" xfId="0" applyFont="1" applyFill="1" applyBorder="1" applyAlignment="1">
      <alignment horizontal="left" vertical="top"/>
    </xf>
    <xf numFmtId="0" fontId="85" fillId="0" borderId="30" xfId="0" applyFont="1" applyBorder="1" applyAlignment="1">
      <alignment horizontal="left" vertical="top"/>
    </xf>
    <xf numFmtId="166" fontId="84" fillId="0" borderId="16" xfId="0" applyNumberFormat="1" applyFont="1" applyBorder="1" applyAlignment="1">
      <alignment horizontal="left" vertical="top"/>
    </xf>
    <xf numFmtId="166" fontId="84" fillId="0" borderId="9" xfId="0" applyNumberFormat="1" applyFont="1" applyBorder="1" applyAlignment="1">
      <alignment horizontal="left" vertical="top"/>
    </xf>
    <xf numFmtId="0" fontId="85" fillId="0" borderId="11" xfId="0" applyFont="1" applyBorder="1" applyAlignment="1">
      <alignment horizontal="left" vertical="top"/>
    </xf>
    <xf numFmtId="0" fontId="85" fillId="0" borderId="34" xfId="0" applyFont="1" applyBorder="1" applyAlignment="1">
      <alignment horizontal="left" vertical="top"/>
    </xf>
    <xf numFmtId="9" fontId="84" fillId="0" borderId="19" xfId="22" applyFont="1" applyBorder="1" applyAlignment="1">
      <alignment horizontal="left" vertical="top"/>
    </xf>
    <xf numFmtId="166" fontId="84" fillId="0" borderId="33" xfId="0" applyNumberFormat="1" applyFont="1" applyBorder="1" applyAlignment="1">
      <alignment horizontal="left" vertical="top" wrapText="1"/>
    </xf>
    <xf numFmtId="0" fontId="85" fillId="29" borderId="17" xfId="0" applyFont="1" applyFill="1" applyBorder="1" applyAlignment="1">
      <alignment horizontal="left" vertical="top" textRotation="90" wrapText="1"/>
    </xf>
    <xf numFmtId="0" fontId="84" fillId="32" borderId="15" xfId="0" applyFont="1" applyFill="1" applyBorder="1" applyAlignment="1">
      <alignment horizontal="left" vertical="top"/>
    </xf>
    <xf numFmtId="166" fontId="85" fillId="32" borderId="14" xfId="0" applyNumberFormat="1" applyFont="1" applyFill="1" applyBorder="1" applyAlignment="1">
      <alignment horizontal="left" vertical="top"/>
    </xf>
    <xf numFmtId="166" fontId="84" fillId="32" borderId="14" xfId="0" applyNumberFormat="1" applyFont="1" applyFill="1" applyBorder="1" applyAlignment="1">
      <alignment horizontal="left" vertical="top"/>
    </xf>
    <xf numFmtId="166" fontId="101" fillId="38" borderId="14" xfId="0" applyNumberFormat="1" applyFont="1" applyFill="1" applyBorder="1" applyAlignment="1">
      <alignment horizontal="left" vertical="top" wrapText="1"/>
    </xf>
    <xf numFmtId="0" fontId="84" fillId="29" borderId="14" xfId="0" applyFont="1" applyFill="1" applyBorder="1" applyAlignment="1">
      <alignment horizontal="left" vertical="top"/>
    </xf>
    <xf numFmtId="166" fontId="85" fillId="32" borderId="14" xfId="0" applyNumberFormat="1" applyFont="1" applyFill="1" applyBorder="1" applyAlignment="1">
      <alignment horizontal="left" vertical="top" wrapText="1"/>
    </xf>
    <xf numFmtId="0" fontId="85" fillId="29" borderId="32" xfId="0" applyFont="1" applyFill="1" applyBorder="1" applyAlignment="1">
      <alignment horizontal="left" vertical="top" textRotation="90" wrapText="1"/>
    </xf>
    <xf numFmtId="0" fontId="84" fillId="32" borderId="0" xfId="0" applyFont="1" applyFill="1" applyAlignment="1">
      <alignment horizontal="left" vertical="top"/>
    </xf>
    <xf numFmtId="166" fontId="84" fillId="32" borderId="19" xfId="0" applyNumberFormat="1" applyFont="1" applyFill="1" applyBorder="1" applyAlignment="1">
      <alignment horizontal="left" vertical="top"/>
    </xf>
    <xf numFmtId="166" fontId="85" fillId="32" borderId="19" xfId="0" applyNumberFormat="1" applyFont="1" applyFill="1" applyBorder="1" applyAlignment="1">
      <alignment horizontal="left" vertical="top" wrapText="1"/>
    </xf>
    <xf numFmtId="0" fontId="84" fillId="29" borderId="19" xfId="0" applyFont="1" applyFill="1" applyBorder="1" applyAlignment="1">
      <alignment horizontal="left" vertical="top"/>
    </xf>
    <xf numFmtId="0" fontId="85" fillId="0" borderId="22" xfId="0" applyFont="1" applyBorder="1" applyAlignment="1">
      <alignment horizontal="left" vertical="top"/>
    </xf>
    <xf numFmtId="0" fontId="84" fillId="21" borderId="11" xfId="0" applyFont="1" applyFill="1" applyBorder="1" applyAlignment="1">
      <alignment horizontal="left" vertical="top"/>
    </xf>
    <xf numFmtId="0" fontId="116" fillId="25" borderId="14" xfId="0" applyFont="1" applyFill="1" applyBorder="1" applyAlignment="1">
      <alignment horizontal="left" vertical="top"/>
    </xf>
    <xf numFmtId="0" fontId="116" fillId="25" borderId="14" xfId="0" applyFont="1" applyFill="1" applyBorder="1" applyAlignment="1">
      <alignment horizontal="left" vertical="top" wrapText="1"/>
    </xf>
    <xf numFmtId="0" fontId="116" fillId="25" borderId="98" xfId="0" applyFont="1" applyFill="1" applyBorder="1" applyAlignment="1">
      <alignment horizontal="left" vertical="top" textRotation="90" wrapText="1"/>
    </xf>
    <xf numFmtId="0" fontId="116" fillId="25" borderId="8" xfId="0" applyFont="1" applyFill="1" applyBorder="1" applyAlignment="1">
      <alignment horizontal="left" vertical="top"/>
    </xf>
    <xf numFmtId="166" fontId="116" fillId="25" borderId="14" xfId="0" applyNumberFormat="1" applyFont="1" applyFill="1" applyBorder="1" applyAlignment="1">
      <alignment horizontal="left" vertical="top"/>
    </xf>
    <xf numFmtId="166" fontId="84" fillId="25" borderId="14" xfId="0" applyNumberFormat="1" applyFont="1" applyFill="1" applyBorder="1" applyAlignment="1">
      <alignment horizontal="left" vertical="top"/>
    </xf>
    <xf numFmtId="166" fontId="84" fillId="25" borderId="24" xfId="0" applyNumberFormat="1" applyFont="1" applyFill="1" applyBorder="1" applyAlignment="1">
      <alignment horizontal="left" vertical="top" wrapText="1"/>
    </xf>
    <xf numFmtId="166" fontId="101" fillId="25" borderId="24" xfId="0" applyNumberFormat="1" applyFont="1" applyFill="1" applyBorder="1" applyAlignment="1">
      <alignment horizontal="left" vertical="top" wrapText="1"/>
    </xf>
    <xf numFmtId="49" fontId="84" fillId="25" borderId="24" xfId="0" applyNumberFormat="1" applyFont="1" applyFill="1" applyBorder="1" applyAlignment="1">
      <alignment horizontal="left" vertical="top" wrapText="1"/>
    </xf>
    <xf numFmtId="0" fontId="116" fillId="25" borderId="19" xfId="0" applyFont="1" applyFill="1" applyBorder="1" applyAlignment="1">
      <alignment horizontal="left" vertical="top"/>
    </xf>
    <xf numFmtId="0" fontId="116" fillId="25" borderId="19" xfId="0" quotePrefix="1" applyFont="1" applyFill="1" applyBorder="1" applyAlignment="1">
      <alignment horizontal="left" vertical="top" wrapText="1"/>
    </xf>
    <xf numFmtId="166" fontId="116" fillId="25" borderId="21" xfId="0" applyNumberFormat="1" applyFont="1" applyFill="1" applyBorder="1" applyAlignment="1">
      <alignment horizontal="left" vertical="top"/>
    </xf>
    <xf numFmtId="166" fontId="84" fillId="25" borderId="0" xfId="0" applyNumberFormat="1" applyFont="1" applyFill="1" applyAlignment="1">
      <alignment horizontal="left" vertical="top"/>
    </xf>
    <xf numFmtId="43" fontId="85" fillId="0" borderId="14" xfId="21" applyFont="1" applyFill="1" applyBorder="1" applyAlignment="1">
      <alignment horizontal="left" vertical="top"/>
    </xf>
    <xf numFmtId="49" fontId="116" fillId="30" borderId="21" xfId="0" applyNumberFormat="1" applyFont="1" applyFill="1" applyBorder="1" applyAlignment="1">
      <alignment horizontal="left" vertical="top" wrapText="1"/>
    </xf>
    <xf numFmtId="0" fontId="85" fillId="29" borderId="14" xfId="0" applyFont="1" applyFill="1" applyBorder="1" applyAlignment="1">
      <alignment horizontal="left" vertical="top" textRotation="90" wrapText="1"/>
    </xf>
    <xf numFmtId="166" fontId="84" fillId="29" borderId="24" xfId="0" applyNumberFormat="1" applyFont="1" applyFill="1" applyBorder="1" applyAlignment="1">
      <alignment horizontal="left" vertical="top" wrapText="1"/>
    </xf>
    <xf numFmtId="166" fontId="85" fillId="29" borderId="21" xfId="0" applyNumberFormat="1" applyFont="1" applyFill="1" applyBorder="1" applyAlignment="1">
      <alignment horizontal="left" vertical="top" wrapText="1"/>
    </xf>
    <xf numFmtId="49" fontId="84" fillId="29" borderId="21" xfId="0" applyNumberFormat="1" applyFont="1" applyFill="1" applyBorder="1" applyAlignment="1">
      <alignment horizontal="left" vertical="top" wrapText="1"/>
    </xf>
    <xf numFmtId="166" fontId="84" fillId="0" borderId="19" xfId="0" applyNumberFormat="1" applyFont="1" applyBorder="1" applyAlignment="1">
      <alignment horizontal="left" vertical="top"/>
    </xf>
    <xf numFmtId="0" fontId="85" fillId="30" borderId="14" xfId="0" applyFont="1" applyFill="1" applyBorder="1" applyAlignment="1">
      <alignment horizontal="left" vertical="top" wrapText="1"/>
    </xf>
    <xf numFmtId="0" fontId="85" fillId="30" borderId="30" xfId="0" applyFont="1" applyFill="1" applyBorder="1" applyAlignment="1">
      <alignment horizontal="left" vertical="top" textRotation="90" wrapText="1"/>
    </xf>
    <xf numFmtId="0" fontId="85" fillId="29" borderId="16" xfId="0" applyFont="1" applyFill="1" applyBorder="1" applyAlignment="1">
      <alignment horizontal="left" vertical="top"/>
    </xf>
    <xf numFmtId="0" fontId="85" fillId="29" borderId="11" xfId="0" applyFont="1" applyFill="1" applyBorder="1" applyAlignment="1">
      <alignment horizontal="left" vertical="top" textRotation="90" wrapText="1"/>
    </xf>
    <xf numFmtId="9" fontId="84" fillId="0" borderId="21" xfId="22" applyFont="1" applyBorder="1" applyAlignment="1">
      <alignment horizontal="left" vertical="top"/>
    </xf>
    <xf numFmtId="0" fontId="116" fillId="29" borderId="14" xfId="0" applyFont="1" applyFill="1" applyBorder="1" applyAlignment="1">
      <alignment horizontal="left" vertical="top" wrapText="1"/>
    </xf>
    <xf numFmtId="0" fontId="116" fillId="29" borderId="11" xfId="0" applyFont="1" applyFill="1" applyBorder="1" applyAlignment="1">
      <alignment horizontal="left" vertical="top" textRotation="90" wrapText="1"/>
    </xf>
    <xf numFmtId="0" fontId="86" fillId="29" borderId="6" xfId="0" applyFont="1" applyFill="1" applyBorder="1" applyAlignment="1">
      <alignment horizontal="left" vertical="top"/>
    </xf>
    <xf numFmtId="0" fontId="84" fillId="17" borderId="14" xfId="0" applyFont="1" applyFill="1" applyBorder="1" applyAlignment="1">
      <alignment horizontal="left" vertical="top" wrapText="1"/>
    </xf>
    <xf numFmtId="9" fontId="84" fillId="0" borderId="14" xfId="22" applyFont="1" applyBorder="1" applyAlignment="1">
      <alignment horizontal="left" vertical="top" wrapText="1"/>
    </xf>
    <xf numFmtId="166" fontId="84" fillId="0" borderId="0" xfId="0" applyNumberFormat="1" applyFont="1" applyAlignment="1">
      <alignment horizontal="left" vertical="top" wrapText="1"/>
    </xf>
    <xf numFmtId="166" fontId="102" fillId="0" borderId="14" xfId="0" applyNumberFormat="1" applyFont="1" applyBorder="1" applyAlignment="1">
      <alignment horizontal="left" vertical="top"/>
    </xf>
    <xf numFmtId="0" fontId="84" fillId="22" borderId="14" xfId="0" applyFont="1" applyFill="1" applyBorder="1" applyAlignment="1">
      <alignment horizontal="left" vertical="top" wrapText="1"/>
    </xf>
    <xf numFmtId="166" fontId="84" fillId="21" borderId="14" xfId="0" applyNumberFormat="1" applyFont="1" applyFill="1" applyBorder="1" applyAlignment="1">
      <alignment horizontal="left" vertical="top" wrapText="1"/>
    </xf>
    <xf numFmtId="9" fontId="84" fillId="21" borderId="14" xfId="22" applyFont="1" applyFill="1" applyBorder="1" applyAlignment="1">
      <alignment horizontal="left" vertical="top" wrapText="1"/>
    </xf>
    <xf numFmtId="49" fontId="101" fillId="0" borderId="24" xfId="0" applyNumberFormat="1" applyFont="1" applyBorder="1" applyAlignment="1">
      <alignment horizontal="left" vertical="top" wrapText="1"/>
    </xf>
    <xf numFmtId="49" fontId="113" fillId="0" borderId="14" xfId="0" applyNumberFormat="1" applyFont="1" applyBorder="1" applyAlignment="1">
      <alignment horizontal="left" vertical="top" wrapText="1"/>
    </xf>
    <xf numFmtId="9" fontId="84" fillId="0" borderId="14" xfId="22" applyFont="1" applyFill="1" applyBorder="1" applyAlignment="1">
      <alignment horizontal="left" vertical="top" wrapText="1"/>
    </xf>
    <xf numFmtId="49" fontId="107" fillId="0" borderId="14" xfId="0" applyNumberFormat="1" applyFont="1" applyBorder="1" applyAlignment="1">
      <alignment horizontal="left" vertical="top" wrapText="1"/>
    </xf>
    <xf numFmtId="0" fontId="107" fillId="0" borderId="14" xfId="0" applyFont="1" applyBorder="1" applyAlignment="1">
      <alignment horizontal="left" vertical="top"/>
    </xf>
    <xf numFmtId="0" fontId="107" fillId="0" borderId="0" xfId="0" applyFont="1" applyAlignment="1">
      <alignment horizontal="left" vertical="top"/>
    </xf>
    <xf numFmtId="166" fontId="107" fillId="0" borderId="14" xfId="0" applyNumberFormat="1" applyFont="1" applyBorder="1" applyAlignment="1">
      <alignment horizontal="left" vertical="top"/>
    </xf>
    <xf numFmtId="49" fontId="85" fillId="34" borderId="14" xfId="0" applyNumberFormat="1" applyFont="1" applyFill="1" applyBorder="1" applyAlignment="1">
      <alignment horizontal="left" vertical="top" wrapText="1"/>
    </xf>
    <xf numFmtId="166" fontId="101" fillId="0" borderId="21" xfId="0" applyNumberFormat="1" applyFont="1" applyBorder="1" applyAlignment="1">
      <alignment horizontal="left" vertical="top"/>
    </xf>
    <xf numFmtId="49" fontId="107" fillId="25" borderId="14" xfId="0" applyNumberFormat="1" applyFont="1" applyFill="1" applyBorder="1" applyAlignment="1">
      <alignment horizontal="left" vertical="top" wrapText="1"/>
    </xf>
    <xf numFmtId="166" fontId="114" fillId="0" borderId="14" xfId="0" applyNumberFormat="1" applyFont="1" applyBorder="1" applyAlignment="1">
      <alignment horizontal="left" vertical="top"/>
    </xf>
    <xf numFmtId="2" fontId="85" fillId="0" borderId="14" xfId="0" applyNumberFormat="1" applyFont="1" applyBorder="1" applyAlignment="1">
      <alignment horizontal="left" vertical="top" wrapText="1"/>
    </xf>
    <xf numFmtId="0" fontId="101" fillId="0" borderId="14" xfId="0" applyFont="1" applyBorder="1" applyAlignment="1">
      <alignment horizontal="left" vertical="top"/>
    </xf>
    <xf numFmtId="0" fontId="101" fillId="11" borderId="14" xfId="0" applyFont="1" applyFill="1" applyBorder="1" applyAlignment="1">
      <alignment horizontal="left" vertical="top"/>
    </xf>
    <xf numFmtId="0" fontId="101" fillId="11" borderId="0" xfId="0" applyFont="1" applyFill="1" applyAlignment="1">
      <alignment horizontal="left" vertical="top"/>
    </xf>
    <xf numFmtId="49" fontId="84" fillId="0" borderId="21" xfId="0" applyNumberFormat="1" applyFont="1" applyBorder="1" applyAlignment="1">
      <alignment horizontal="left" vertical="top" wrapText="1"/>
    </xf>
    <xf numFmtId="49" fontId="84" fillId="0" borderId="37" xfId="0" applyNumberFormat="1" applyFont="1" applyBorder="1" applyAlignment="1">
      <alignment horizontal="left" vertical="top" wrapText="1"/>
    </xf>
    <xf numFmtId="0" fontId="101" fillId="0" borderId="0" xfId="0" applyFont="1" applyAlignment="1">
      <alignment horizontal="left" vertical="top"/>
    </xf>
    <xf numFmtId="49" fontId="85" fillId="25" borderId="21" xfId="0" applyNumberFormat="1" applyFont="1" applyFill="1" applyBorder="1" applyAlignment="1">
      <alignment horizontal="left" vertical="top" wrapText="1"/>
    </xf>
    <xf numFmtId="49" fontId="84" fillId="25" borderId="21" xfId="0" applyNumberFormat="1" applyFont="1" applyFill="1" applyBorder="1" applyAlignment="1">
      <alignment horizontal="left" vertical="top" wrapText="1"/>
    </xf>
    <xf numFmtId="49" fontId="84" fillId="25" borderId="14" xfId="0" applyNumberFormat="1" applyFont="1" applyFill="1" applyBorder="1" applyAlignment="1">
      <alignment horizontal="left" vertical="top" wrapText="1"/>
    </xf>
    <xf numFmtId="49" fontId="85" fillId="29" borderId="21" xfId="0" applyNumberFormat="1" applyFont="1" applyFill="1" applyBorder="1" applyAlignment="1">
      <alignment horizontal="left" vertical="top" wrapText="1"/>
    </xf>
    <xf numFmtId="49" fontId="85" fillId="29" borderId="37" xfId="0" applyNumberFormat="1" applyFont="1" applyFill="1" applyBorder="1" applyAlignment="1">
      <alignment horizontal="left" vertical="top" wrapText="1"/>
    </xf>
    <xf numFmtId="49" fontId="85" fillId="29" borderId="31" xfId="0" applyNumberFormat="1" applyFont="1" applyFill="1" applyBorder="1" applyAlignment="1">
      <alignment horizontal="left" vertical="top" wrapText="1"/>
    </xf>
    <xf numFmtId="49" fontId="84" fillId="29" borderId="32" xfId="0" applyNumberFormat="1" applyFont="1" applyFill="1" applyBorder="1" applyAlignment="1">
      <alignment horizontal="left" vertical="top" wrapText="1"/>
    </xf>
    <xf numFmtId="49" fontId="85" fillId="29" borderId="65" xfId="0" applyNumberFormat="1" applyFont="1" applyFill="1" applyBorder="1" applyAlignment="1">
      <alignment horizontal="left" vertical="top" wrapText="1"/>
    </xf>
    <xf numFmtId="49" fontId="84" fillId="29" borderId="57" xfId="0" applyNumberFormat="1" applyFont="1" applyFill="1" applyBorder="1" applyAlignment="1">
      <alignment horizontal="left" vertical="top" wrapText="1"/>
    </xf>
    <xf numFmtId="49" fontId="84" fillId="29" borderId="33" xfId="0" applyNumberFormat="1" applyFont="1" applyFill="1" applyBorder="1" applyAlignment="1">
      <alignment horizontal="left" vertical="top" wrapText="1"/>
    </xf>
    <xf numFmtId="49" fontId="84" fillId="29" borderId="17" xfId="0" applyNumberFormat="1" applyFont="1" applyFill="1" applyBorder="1" applyAlignment="1">
      <alignment horizontal="left" vertical="top" wrapText="1"/>
    </xf>
    <xf numFmtId="166" fontId="85" fillId="34" borderId="14" xfId="0" applyNumberFormat="1" applyFont="1" applyFill="1" applyBorder="1" applyAlignment="1">
      <alignment horizontal="left" vertical="top"/>
    </xf>
    <xf numFmtId="0" fontId="85" fillId="34" borderId="14" xfId="0" applyFont="1" applyFill="1" applyBorder="1" applyAlignment="1">
      <alignment horizontal="left" vertical="top"/>
    </xf>
    <xf numFmtId="49" fontId="85" fillId="35" borderId="14" xfId="0" applyNumberFormat="1" applyFont="1" applyFill="1" applyBorder="1" applyAlignment="1">
      <alignment horizontal="left" vertical="top" wrapText="1"/>
    </xf>
    <xf numFmtId="166" fontId="84" fillId="28" borderId="15" xfId="0" applyNumberFormat="1" applyFont="1" applyFill="1" applyBorder="1" applyAlignment="1">
      <alignment horizontal="left" vertical="top"/>
    </xf>
    <xf numFmtId="0" fontId="84" fillId="28" borderId="17" xfId="0" applyFont="1" applyFill="1" applyBorder="1" applyAlignment="1">
      <alignment horizontal="left" vertical="top" wrapText="1"/>
    </xf>
    <xf numFmtId="49" fontId="84" fillId="0" borderId="21" xfId="0" applyNumberFormat="1" applyFont="1" applyBorder="1" applyAlignment="1">
      <alignment horizontal="left" vertical="top"/>
    </xf>
    <xf numFmtId="49" fontId="84" fillId="0" borderId="14" xfId="0" applyNumberFormat="1" applyFont="1" applyBorder="1" applyAlignment="1">
      <alignment horizontal="left" vertical="top"/>
    </xf>
    <xf numFmtId="49" fontId="84" fillId="21" borderId="15" xfId="0" applyNumberFormat="1" applyFont="1" applyFill="1" applyBorder="1" applyAlignment="1">
      <alignment horizontal="left" vertical="top"/>
    </xf>
    <xf numFmtId="166" fontId="84" fillId="21" borderId="17" xfId="0" applyNumberFormat="1" applyFont="1" applyFill="1" applyBorder="1" applyAlignment="1">
      <alignment horizontal="left" vertical="top"/>
    </xf>
    <xf numFmtId="0" fontId="116" fillId="29" borderId="7" xfId="0" applyFont="1" applyFill="1" applyBorder="1" applyAlignment="1">
      <alignment horizontal="left" vertical="top"/>
    </xf>
    <xf numFmtId="0" fontId="116" fillId="29" borderId="89" xfId="0" applyFont="1" applyFill="1" applyBorder="1" applyAlignment="1">
      <alignment horizontal="left" vertical="top" wrapText="1"/>
    </xf>
    <xf numFmtId="49" fontId="116" fillId="29" borderId="15" xfId="0" applyNumberFormat="1" applyFont="1" applyFill="1" applyBorder="1" applyAlignment="1">
      <alignment horizontal="left" vertical="top"/>
    </xf>
    <xf numFmtId="166" fontId="116" fillId="29" borderId="14" xfId="0" applyNumberFormat="1" applyFont="1" applyFill="1" applyBorder="1" applyAlignment="1" applyProtection="1">
      <alignment horizontal="left" vertical="top"/>
      <protection locked="0"/>
    </xf>
    <xf numFmtId="9" fontId="116" fillId="29" borderId="14" xfId="22" applyFont="1" applyFill="1" applyBorder="1" applyAlignment="1">
      <alignment horizontal="left" vertical="top" wrapText="1"/>
    </xf>
    <xf numFmtId="166" fontId="85" fillId="11" borderId="17" xfId="0" applyNumberFormat="1" applyFont="1" applyFill="1" applyBorder="1" applyAlignment="1">
      <alignment horizontal="left" vertical="top"/>
    </xf>
    <xf numFmtId="166" fontId="85" fillId="29" borderId="17" xfId="0" applyNumberFormat="1" applyFont="1" applyFill="1" applyBorder="1" applyAlignment="1">
      <alignment horizontal="left" vertical="top"/>
    </xf>
    <xf numFmtId="166" fontId="119" fillId="11" borderId="14" xfId="0" applyNumberFormat="1" applyFont="1" applyFill="1" applyBorder="1" applyAlignment="1">
      <alignment horizontal="left" vertical="top"/>
    </xf>
    <xf numFmtId="49" fontId="116" fillId="21" borderId="15" xfId="0" applyNumberFormat="1" applyFont="1" applyFill="1" applyBorder="1" applyAlignment="1">
      <alignment horizontal="left" vertical="top"/>
    </xf>
    <xf numFmtId="166" fontId="116" fillId="21" borderId="14" xfId="0" applyNumberFormat="1" applyFont="1" applyFill="1" applyBorder="1" applyAlignment="1">
      <alignment horizontal="left" vertical="top"/>
    </xf>
    <xf numFmtId="9" fontId="116" fillId="21" borderId="14" xfId="22" applyFont="1" applyFill="1" applyBorder="1" applyAlignment="1">
      <alignment horizontal="left" vertical="top" wrapText="1"/>
    </xf>
    <xf numFmtId="166" fontId="84" fillId="29" borderId="17" xfId="0" applyNumberFormat="1" applyFont="1" applyFill="1" applyBorder="1" applyAlignment="1">
      <alignment horizontal="left" vertical="top"/>
    </xf>
    <xf numFmtId="166" fontId="84" fillId="11" borderId="17" xfId="0" applyNumberFormat="1" applyFont="1" applyFill="1" applyBorder="1" applyAlignment="1">
      <alignment horizontal="left" vertical="top"/>
    </xf>
    <xf numFmtId="49" fontId="119" fillId="29" borderId="15" xfId="0" applyNumberFormat="1" applyFont="1" applyFill="1" applyBorder="1" applyAlignment="1">
      <alignment horizontal="left" vertical="top"/>
    </xf>
    <xf numFmtId="166" fontId="102" fillId="29" borderId="17" xfId="0" applyNumberFormat="1" applyFont="1" applyFill="1" applyBorder="1" applyAlignment="1">
      <alignment horizontal="left" vertical="top"/>
    </xf>
    <xf numFmtId="166" fontId="119" fillId="29" borderId="14" xfId="0" applyNumberFormat="1" applyFont="1" applyFill="1" applyBorder="1" applyAlignment="1" applyProtection="1">
      <alignment horizontal="left" vertical="top"/>
      <protection locked="0"/>
    </xf>
    <xf numFmtId="0" fontId="136" fillId="29" borderId="14" xfId="0" applyFont="1" applyFill="1" applyBorder="1" applyAlignment="1">
      <alignment horizontal="left" vertical="top"/>
    </xf>
    <xf numFmtId="166" fontId="116" fillId="11" borderId="14" xfId="0" applyNumberFormat="1" applyFont="1" applyFill="1" applyBorder="1" applyAlignment="1">
      <alignment horizontal="left" vertical="top"/>
    </xf>
    <xf numFmtId="166" fontId="102" fillId="0" borderId="17" xfId="0" applyNumberFormat="1" applyFont="1" applyBorder="1" applyAlignment="1">
      <alignment horizontal="left" vertical="top"/>
    </xf>
    <xf numFmtId="0" fontId="85" fillId="0" borderId="10" xfId="0" applyFont="1" applyBorder="1" applyAlignment="1">
      <alignment horizontal="left" vertical="top"/>
    </xf>
    <xf numFmtId="166" fontId="84" fillId="0" borderId="17" xfId="0" applyNumberFormat="1" applyFont="1" applyBorder="1" applyAlignment="1">
      <alignment horizontal="left" vertical="top"/>
    </xf>
    <xf numFmtId="0" fontId="85" fillId="0" borderId="52" xfId="0" applyFont="1" applyBorder="1" applyAlignment="1">
      <alignment horizontal="left" vertical="top"/>
    </xf>
    <xf numFmtId="166" fontId="84" fillId="0" borderId="32" xfId="0" applyNumberFormat="1" applyFont="1" applyBorder="1" applyAlignment="1">
      <alignment horizontal="left" vertical="top"/>
    </xf>
    <xf numFmtId="0" fontId="84" fillId="22" borderId="35" xfId="0" applyFont="1" applyFill="1" applyBorder="1" applyAlignment="1">
      <alignment horizontal="left" vertical="top" wrapText="1"/>
    </xf>
    <xf numFmtId="166" fontId="84" fillId="22" borderId="14" xfId="0" applyNumberFormat="1" applyFont="1" applyFill="1" applyBorder="1" applyAlignment="1">
      <alignment horizontal="left" vertical="top" wrapText="1"/>
    </xf>
    <xf numFmtId="166" fontId="84" fillId="22" borderId="17" xfId="0" applyNumberFormat="1" applyFont="1" applyFill="1" applyBorder="1" applyAlignment="1">
      <alignment horizontal="left" vertical="top" wrapText="1"/>
    </xf>
    <xf numFmtId="0" fontId="116" fillId="29" borderId="14" xfId="0" applyFont="1" applyFill="1" applyBorder="1" applyAlignment="1">
      <alignment horizontal="left" vertical="top" textRotation="90" wrapText="1"/>
    </xf>
    <xf numFmtId="0" fontId="116" fillId="29" borderId="10" xfId="0" applyFont="1" applyFill="1" applyBorder="1" applyAlignment="1">
      <alignment horizontal="left" vertical="top"/>
    </xf>
    <xf numFmtId="166" fontId="116" fillId="29" borderId="105" xfId="0" applyNumberFormat="1" applyFont="1" applyFill="1" applyBorder="1" applyAlignment="1" applyProtection="1">
      <alignment horizontal="left" vertical="top"/>
      <protection locked="0"/>
    </xf>
    <xf numFmtId="9" fontId="116" fillId="29" borderId="105" xfId="22" applyFont="1" applyFill="1" applyBorder="1" applyAlignment="1">
      <alignment horizontal="left" vertical="top" wrapText="1"/>
    </xf>
    <xf numFmtId="166" fontId="85" fillId="29" borderId="33" xfId="0" applyNumberFormat="1" applyFont="1" applyFill="1" applyBorder="1" applyAlignment="1">
      <alignment horizontal="left" vertical="top"/>
    </xf>
    <xf numFmtId="0" fontId="85" fillId="29" borderId="0" xfId="0" applyFont="1" applyFill="1" applyAlignment="1">
      <alignment horizontal="left" vertical="top"/>
    </xf>
    <xf numFmtId="49" fontId="102" fillId="29" borderId="14" xfId="0" applyNumberFormat="1" applyFont="1" applyFill="1" applyBorder="1" applyAlignment="1">
      <alignment horizontal="left" vertical="top" wrapText="1"/>
    </xf>
    <xf numFmtId="0" fontId="90" fillId="0" borderId="14" xfId="0" applyFont="1" applyBorder="1" applyAlignment="1">
      <alignment horizontal="left" vertical="top"/>
    </xf>
    <xf numFmtId="166" fontId="116" fillId="29" borderId="102" xfId="0" applyNumberFormat="1" applyFont="1" applyFill="1" applyBorder="1" applyAlignment="1">
      <alignment horizontal="left" vertical="top"/>
    </xf>
    <xf numFmtId="9" fontId="116" fillId="29" borderId="102" xfId="22" applyFont="1" applyFill="1" applyBorder="1" applyAlignment="1">
      <alignment horizontal="left" vertical="top" wrapText="1"/>
    </xf>
    <xf numFmtId="166" fontId="116" fillId="29" borderId="102" xfId="0" applyNumberFormat="1" applyFont="1" applyFill="1" applyBorder="1" applyAlignment="1" applyProtection="1">
      <alignment horizontal="left" vertical="top"/>
      <protection locked="0"/>
    </xf>
    <xf numFmtId="166" fontId="84" fillId="29" borderId="33" xfId="0" applyNumberFormat="1" applyFont="1" applyFill="1" applyBorder="1" applyAlignment="1">
      <alignment horizontal="left" vertical="top"/>
    </xf>
    <xf numFmtId="0" fontId="116" fillId="29" borderId="52" xfId="0" applyFont="1" applyFill="1" applyBorder="1" applyAlignment="1">
      <alignment horizontal="left" vertical="top"/>
    </xf>
    <xf numFmtId="0" fontId="116" fillId="21" borderId="35" xfId="0" applyFont="1" applyFill="1" applyBorder="1" applyAlignment="1">
      <alignment horizontal="left" vertical="top" wrapText="1"/>
    </xf>
    <xf numFmtId="166" fontId="116" fillId="21" borderId="102" xfId="0" applyNumberFormat="1" applyFont="1" applyFill="1" applyBorder="1" applyAlignment="1">
      <alignment horizontal="left" vertical="top"/>
    </xf>
    <xf numFmtId="9" fontId="116" fillId="21" borderId="102" xfId="22" applyFont="1" applyFill="1" applyBorder="1" applyAlignment="1">
      <alignment horizontal="left" vertical="top" wrapText="1"/>
    </xf>
    <xf numFmtId="166" fontId="119" fillId="29" borderId="102" xfId="0" applyNumberFormat="1" applyFont="1" applyFill="1" applyBorder="1" applyAlignment="1">
      <alignment horizontal="left" vertical="top"/>
    </xf>
    <xf numFmtId="9" fontId="116" fillId="21" borderId="102" xfId="22" applyFont="1" applyFill="1" applyBorder="1" applyAlignment="1">
      <alignment horizontal="left" vertical="top"/>
    </xf>
    <xf numFmtId="49" fontId="116" fillId="21" borderId="35" xfId="0" applyNumberFormat="1" applyFont="1" applyFill="1" applyBorder="1" applyAlignment="1">
      <alignment horizontal="left" vertical="top"/>
    </xf>
    <xf numFmtId="166" fontId="119" fillId="11" borderId="102" xfId="0" applyNumberFormat="1" applyFont="1" applyFill="1" applyBorder="1" applyAlignment="1">
      <alignment horizontal="left" vertical="top"/>
    </xf>
    <xf numFmtId="0" fontId="116" fillId="29" borderId="0" xfId="0" applyFont="1" applyFill="1" applyAlignment="1">
      <alignment horizontal="left" vertical="top" wrapText="1"/>
    </xf>
    <xf numFmtId="0" fontId="116" fillId="29" borderId="35" xfId="0" applyFont="1" applyFill="1" applyBorder="1" applyAlignment="1">
      <alignment horizontal="left" vertical="top" wrapText="1"/>
    </xf>
    <xf numFmtId="0" fontId="84" fillId="28" borderId="23" xfId="0" applyFont="1" applyFill="1" applyBorder="1" applyAlignment="1">
      <alignment horizontal="left" vertical="top"/>
    </xf>
    <xf numFmtId="0" fontId="84" fillId="28" borderId="21" xfId="0" applyFont="1" applyFill="1" applyBorder="1" applyAlignment="1">
      <alignment horizontal="left" vertical="top" wrapText="1"/>
    </xf>
    <xf numFmtId="0" fontId="84" fillId="28" borderId="14" xfId="0" applyFont="1" applyFill="1" applyBorder="1" applyAlignment="1">
      <alignment horizontal="left" vertical="top" textRotation="90" wrapText="1"/>
    </xf>
    <xf numFmtId="9" fontId="84" fillId="28" borderId="21" xfId="22" applyFont="1" applyFill="1" applyBorder="1" applyAlignment="1">
      <alignment horizontal="left" vertical="top" wrapText="1"/>
    </xf>
    <xf numFmtId="0" fontId="84" fillId="22" borderId="21" xfId="0" applyFont="1" applyFill="1" applyBorder="1" applyAlignment="1">
      <alignment horizontal="left" vertical="top" wrapText="1"/>
    </xf>
    <xf numFmtId="166" fontId="84" fillId="21" borderId="21" xfId="0" applyNumberFormat="1" applyFont="1" applyFill="1" applyBorder="1" applyAlignment="1">
      <alignment horizontal="left" vertical="top"/>
    </xf>
    <xf numFmtId="49" fontId="86" fillId="29" borderId="9" xfId="0" applyNumberFormat="1" applyFont="1" applyFill="1" applyBorder="1" applyAlignment="1">
      <alignment horizontal="left" vertical="top"/>
    </xf>
    <xf numFmtId="0" fontId="116" fillId="29" borderId="9" xfId="0" applyFont="1" applyFill="1" applyBorder="1" applyAlignment="1">
      <alignment horizontal="left" vertical="top" wrapText="1"/>
    </xf>
    <xf numFmtId="0" fontId="116" fillId="29" borderId="9" xfId="0" applyFont="1" applyFill="1" applyBorder="1" applyAlignment="1">
      <alignment horizontal="left" vertical="top" textRotation="90" wrapText="1"/>
    </xf>
    <xf numFmtId="0" fontId="116" fillId="30" borderId="0" xfId="0" applyFont="1" applyFill="1" applyAlignment="1">
      <alignment horizontal="left" vertical="top" wrapText="1"/>
    </xf>
    <xf numFmtId="9" fontId="86" fillId="29" borderId="14" xfId="22" applyFont="1" applyFill="1" applyBorder="1" applyAlignment="1">
      <alignment horizontal="left" vertical="top" wrapText="1"/>
    </xf>
    <xf numFmtId="0" fontId="116" fillId="29" borderId="14" xfId="0" applyFont="1" applyFill="1" applyBorder="1" applyAlignment="1">
      <alignment horizontal="left" vertical="top"/>
    </xf>
    <xf numFmtId="49" fontId="86" fillId="29" borderId="14" xfId="0" applyNumberFormat="1" applyFont="1" applyFill="1" applyBorder="1" applyAlignment="1">
      <alignment horizontal="left" vertical="top" wrapText="1"/>
    </xf>
    <xf numFmtId="0" fontId="90" fillId="29" borderId="14" xfId="0" applyFont="1" applyFill="1" applyBorder="1" applyAlignment="1">
      <alignment horizontal="left" vertical="top"/>
    </xf>
    <xf numFmtId="49" fontId="120" fillId="29" borderId="9" xfId="0" applyNumberFormat="1" applyFont="1" applyFill="1" applyBorder="1" applyAlignment="1">
      <alignment horizontal="left" vertical="top"/>
    </xf>
    <xf numFmtId="9" fontId="120" fillId="29" borderId="14" xfId="22" applyFont="1" applyFill="1" applyBorder="1" applyAlignment="1">
      <alignment horizontal="left" vertical="top" wrapText="1"/>
    </xf>
    <xf numFmtId="0" fontId="119" fillId="29" borderId="14" xfId="0" applyFont="1" applyFill="1" applyBorder="1" applyAlignment="1">
      <alignment horizontal="left" vertical="top"/>
    </xf>
    <xf numFmtId="0" fontId="116" fillId="29" borderId="9" xfId="0" quotePrefix="1" applyFont="1" applyFill="1" applyBorder="1" applyAlignment="1">
      <alignment horizontal="left" vertical="top" wrapText="1"/>
    </xf>
    <xf numFmtId="49" fontId="120" fillId="29" borderId="6" xfId="0" applyNumberFormat="1" applyFont="1" applyFill="1" applyBorder="1" applyAlignment="1">
      <alignment horizontal="left" vertical="top"/>
    </xf>
    <xf numFmtId="0" fontId="116" fillId="29" borderId="6" xfId="0" applyFont="1" applyFill="1" applyBorder="1" applyAlignment="1">
      <alignment horizontal="left" vertical="top" wrapText="1"/>
    </xf>
    <xf numFmtId="0" fontId="116" fillId="29" borderId="8" xfId="0" applyFont="1" applyFill="1" applyBorder="1" applyAlignment="1">
      <alignment horizontal="left" vertical="top" textRotation="90" wrapText="1"/>
    </xf>
    <xf numFmtId="0" fontId="116" fillId="30" borderId="14" xfId="0" applyFont="1" applyFill="1" applyBorder="1" applyAlignment="1">
      <alignment horizontal="left" vertical="top" wrapText="1"/>
    </xf>
    <xf numFmtId="9" fontId="119" fillId="29" borderId="14" xfId="22" applyFont="1" applyFill="1" applyBorder="1" applyAlignment="1">
      <alignment horizontal="left" vertical="top" wrapText="1"/>
    </xf>
    <xf numFmtId="0" fontId="85" fillId="0" borderId="16" xfId="0" applyFont="1" applyBorder="1" applyAlignment="1">
      <alignment horizontal="left" vertical="top"/>
    </xf>
    <xf numFmtId="166" fontId="84" fillId="0" borderId="102" xfId="0" applyNumberFormat="1" applyFont="1" applyBorder="1" applyAlignment="1">
      <alignment horizontal="left" vertical="top"/>
    </xf>
    <xf numFmtId="9" fontId="84" fillId="0" borderId="33" xfId="22" applyFont="1" applyFill="1" applyBorder="1" applyAlignment="1">
      <alignment horizontal="left" vertical="top" wrapText="1"/>
    </xf>
    <xf numFmtId="0" fontId="85" fillId="0" borderId="8" xfId="0" applyFont="1" applyBorder="1" applyAlignment="1">
      <alignment horizontal="left" vertical="top"/>
    </xf>
    <xf numFmtId="9" fontId="84" fillId="0" borderId="17" xfId="22" applyFont="1" applyFill="1" applyBorder="1" applyAlignment="1">
      <alignment horizontal="left" vertical="top" wrapText="1"/>
    </xf>
    <xf numFmtId="49" fontId="86" fillId="29" borderId="7" xfId="0" applyNumberFormat="1" applyFont="1" applyFill="1" applyBorder="1" applyAlignment="1">
      <alignment horizontal="left" vertical="top"/>
    </xf>
    <xf numFmtId="0" fontId="116" fillId="29" borderId="7" xfId="0" applyFont="1" applyFill="1" applyBorder="1" applyAlignment="1">
      <alignment horizontal="left" vertical="top" wrapText="1"/>
    </xf>
    <xf numFmtId="0" fontId="116" fillId="29" borderId="29" xfId="0" applyFont="1" applyFill="1" applyBorder="1" applyAlignment="1">
      <alignment horizontal="left" vertical="top" textRotation="90" wrapText="1"/>
    </xf>
    <xf numFmtId="0" fontId="116" fillId="30" borderId="19" xfId="0" applyFont="1" applyFill="1" applyBorder="1" applyAlignment="1">
      <alignment horizontal="left" vertical="top" wrapText="1"/>
    </xf>
    <xf numFmtId="49" fontId="120" fillId="29" borderId="102" xfId="0" applyNumberFormat="1" applyFont="1" applyFill="1" applyBorder="1" applyAlignment="1">
      <alignment horizontal="left" vertical="top"/>
    </xf>
    <xf numFmtId="0" fontId="116" fillId="29" borderId="102" xfId="0" applyFont="1" applyFill="1" applyBorder="1" applyAlignment="1">
      <alignment horizontal="left" vertical="top" wrapText="1"/>
    </xf>
    <xf numFmtId="0" fontId="116" fillId="29" borderId="102" xfId="0" applyFont="1" applyFill="1" applyBorder="1" applyAlignment="1">
      <alignment horizontal="left" vertical="top" textRotation="90" wrapText="1"/>
    </xf>
    <xf numFmtId="0" fontId="116" fillId="30" borderId="102" xfId="0" applyFont="1" applyFill="1" applyBorder="1" applyAlignment="1">
      <alignment horizontal="left" vertical="top" wrapText="1"/>
    </xf>
    <xf numFmtId="166" fontId="116" fillId="29" borderId="17" xfId="0" applyNumberFormat="1" applyFont="1" applyFill="1" applyBorder="1" applyAlignment="1">
      <alignment horizontal="left" vertical="top"/>
    </xf>
    <xf numFmtId="49" fontId="86" fillId="29" borderId="103" xfId="0" applyNumberFormat="1" applyFont="1" applyFill="1" applyBorder="1" applyAlignment="1">
      <alignment horizontal="left" vertical="top"/>
    </xf>
    <xf numFmtId="0" fontId="116" fillId="29" borderId="103" xfId="0" applyFont="1" applyFill="1" applyBorder="1" applyAlignment="1">
      <alignment horizontal="left" vertical="top" wrapText="1"/>
    </xf>
    <xf numFmtId="0" fontId="116" fillId="29" borderId="103" xfId="0" applyFont="1" applyFill="1" applyBorder="1" applyAlignment="1">
      <alignment horizontal="left" vertical="top" textRotation="90" wrapText="1"/>
    </xf>
    <xf numFmtId="166" fontId="116" fillId="29" borderId="32" xfId="0" applyNumberFormat="1" applyFont="1" applyFill="1" applyBorder="1" applyAlignment="1">
      <alignment horizontal="left" vertical="top"/>
    </xf>
    <xf numFmtId="166" fontId="116" fillId="29" borderId="19" xfId="0" applyNumberFormat="1" applyFont="1" applyFill="1" applyBorder="1" applyAlignment="1">
      <alignment horizontal="left" vertical="top"/>
    </xf>
    <xf numFmtId="49" fontId="86" fillId="29" borderId="102" xfId="0" applyNumberFormat="1" applyFont="1" applyFill="1" applyBorder="1" applyAlignment="1">
      <alignment horizontal="left" vertical="top"/>
    </xf>
    <xf numFmtId="9" fontId="86" fillId="29" borderId="17" xfId="22" applyFont="1" applyFill="1" applyBorder="1" applyAlignment="1">
      <alignment horizontal="left" vertical="top" wrapText="1"/>
    </xf>
    <xf numFmtId="0" fontId="116" fillId="30" borderId="103" xfId="0" applyFont="1" applyFill="1" applyBorder="1" applyAlignment="1">
      <alignment horizontal="left" vertical="top" wrapText="1"/>
    </xf>
    <xf numFmtId="166" fontId="116" fillId="29" borderId="103" xfId="0" applyNumberFormat="1" applyFont="1" applyFill="1" applyBorder="1" applyAlignment="1">
      <alignment horizontal="left" vertical="top"/>
    </xf>
    <xf numFmtId="9" fontId="86" fillId="29" borderId="32" xfId="22" applyFont="1" applyFill="1" applyBorder="1" applyAlignment="1">
      <alignment horizontal="left" vertical="top" wrapText="1"/>
    </xf>
    <xf numFmtId="0" fontId="116" fillId="29" borderId="19" xfId="0" applyFont="1" applyFill="1" applyBorder="1" applyAlignment="1">
      <alignment horizontal="left" vertical="top"/>
    </xf>
    <xf numFmtId="9" fontId="86" fillId="29" borderId="102" xfId="22" applyFont="1" applyFill="1" applyBorder="1" applyAlignment="1">
      <alignment horizontal="left" vertical="top" wrapText="1"/>
    </xf>
    <xf numFmtId="0" fontId="116" fillId="29" borderId="102" xfId="0" applyFont="1" applyFill="1" applyBorder="1" applyAlignment="1">
      <alignment horizontal="left" vertical="top"/>
    </xf>
    <xf numFmtId="49" fontId="116" fillId="29" borderId="91" xfId="0" applyNumberFormat="1" applyFont="1" applyFill="1" applyBorder="1" applyAlignment="1">
      <alignment horizontal="left" vertical="top"/>
    </xf>
    <xf numFmtId="0" fontId="116" fillId="29" borderId="19" xfId="0" applyFont="1" applyFill="1" applyBorder="1" applyAlignment="1">
      <alignment horizontal="left" vertical="top" wrapText="1"/>
    </xf>
    <xf numFmtId="0" fontId="116" fillId="29" borderId="19" xfId="0" applyFont="1" applyFill="1" applyBorder="1" applyAlignment="1">
      <alignment horizontal="left" vertical="top" textRotation="90" wrapText="1"/>
    </xf>
    <xf numFmtId="0" fontId="116" fillId="42" borderId="19" xfId="0" applyFont="1" applyFill="1" applyBorder="1" applyAlignment="1">
      <alignment horizontal="left" vertical="top" wrapText="1"/>
    </xf>
    <xf numFmtId="166" fontId="116" fillId="41" borderId="19" xfId="0" applyNumberFormat="1" applyFont="1" applyFill="1" applyBorder="1" applyAlignment="1">
      <alignment horizontal="left" vertical="top"/>
    </xf>
    <xf numFmtId="9" fontId="84" fillId="29" borderId="14" xfId="22" applyFont="1" applyFill="1" applyBorder="1" applyAlignment="1">
      <alignment horizontal="left" vertical="top" wrapText="1"/>
    </xf>
    <xf numFmtId="166" fontId="85" fillId="29" borderId="19" xfId="0" applyNumberFormat="1" applyFont="1" applyFill="1" applyBorder="1" applyAlignment="1">
      <alignment horizontal="left" vertical="top"/>
    </xf>
    <xf numFmtId="49" fontId="116" fillId="29" borderId="19" xfId="0" applyNumberFormat="1" applyFont="1" applyFill="1" applyBorder="1" applyAlignment="1">
      <alignment horizontal="left" vertical="top"/>
    </xf>
    <xf numFmtId="166" fontId="112" fillId="29" borderId="14" xfId="0" applyNumberFormat="1" applyFont="1" applyFill="1" applyBorder="1" applyAlignment="1">
      <alignment horizontal="left" vertical="top"/>
    </xf>
    <xf numFmtId="0" fontId="116" fillId="41" borderId="14" xfId="0" applyFont="1" applyFill="1" applyBorder="1" applyAlignment="1">
      <alignment horizontal="left" vertical="top" wrapText="1"/>
    </xf>
    <xf numFmtId="0" fontId="116" fillId="41" borderId="19" xfId="0" applyFont="1" applyFill="1" applyBorder="1" applyAlignment="1">
      <alignment horizontal="left" vertical="top" textRotation="90" wrapText="1"/>
    </xf>
    <xf numFmtId="49" fontId="116" fillId="41" borderId="14" xfId="0" applyNumberFormat="1" applyFont="1" applyFill="1" applyBorder="1" applyAlignment="1">
      <alignment horizontal="left" vertical="top"/>
    </xf>
    <xf numFmtId="49" fontId="116" fillId="29" borderId="21" xfId="0" applyNumberFormat="1" applyFont="1" applyFill="1" applyBorder="1" applyAlignment="1">
      <alignment horizontal="left" vertical="top"/>
    </xf>
    <xf numFmtId="49" fontId="116" fillId="29" borderId="15" xfId="0" applyNumberFormat="1" applyFont="1" applyFill="1" applyBorder="1" applyAlignment="1">
      <alignment horizontal="left" vertical="top" wrapText="1"/>
    </xf>
    <xf numFmtId="0" fontId="85" fillId="29" borderId="19" xfId="0" applyFont="1" applyFill="1" applyBorder="1" applyAlignment="1">
      <alignment horizontal="left" vertical="top"/>
    </xf>
    <xf numFmtId="0" fontId="116" fillId="41" borderId="14" xfId="0" applyFont="1" applyFill="1" applyBorder="1" applyAlignment="1">
      <alignment horizontal="left" vertical="top" textRotation="90" wrapText="1"/>
    </xf>
    <xf numFmtId="49" fontId="116" fillId="29" borderId="19" xfId="0" applyNumberFormat="1" applyFont="1" applyFill="1" applyBorder="1" applyAlignment="1">
      <alignment horizontal="left" vertical="top" wrapText="1"/>
    </xf>
    <xf numFmtId="0" fontId="90" fillId="0" borderId="0" xfId="0" applyFont="1" applyAlignment="1">
      <alignment horizontal="left" vertical="top"/>
    </xf>
    <xf numFmtId="49" fontId="116" fillId="29" borderId="21" xfId="0" applyNumberFormat="1" applyFont="1" applyFill="1" applyBorder="1" applyAlignment="1">
      <alignment horizontal="left" vertical="top" wrapText="1"/>
    </xf>
    <xf numFmtId="0" fontId="116" fillId="41" borderId="32" xfId="0" applyFont="1" applyFill="1" applyBorder="1" applyAlignment="1">
      <alignment horizontal="left" vertical="top" wrapText="1"/>
    </xf>
    <xf numFmtId="0" fontId="116" fillId="23" borderId="32" xfId="0" applyFont="1" applyFill="1" applyBorder="1" applyAlignment="1">
      <alignment horizontal="left" vertical="top" wrapText="1"/>
    </xf>
    <xf numFmtId="49" fontId="116" fillId="23" borderId="14" xfId="0" applyNumberFormat="1" applyFont="1" applyFill="1" applyBorder="1" applyAlignment="1">
      <alignment horizontal="left" vertical="top"/>
    </xf>
    <xf numFmtId="49" fontId="119" fillId="23" borderId="14" xfId="0" applyNumberFormat="1" applyFont="1" applyFill="1" applyBorder="1" applyAlignment="1">
      <alignment horizontal="left" vertical="top"/>
    </xf>
    <xf numFmtId="0" fontId="101" fillId="29" borderId="14" xfId="0" applyFont="1" applyFill="1" applyBorder="1" applyAlignment="1">
      <alignment horizontal="left" vertical="top" textRotation="90" wrapText="1"/>
    </xf>
    <xf numFmtId="166" fontId="102" fillId="29" borderId="14" xfId="0" applyNumberFormat="1" applyFont="1" applyFill="1" applyBorder="1" applyAlignment="1">
      <alignment horizontal="left" vertical="top"/>
    </xf>
    <xf numFmtId="9" fontId="84" fillId="0" borderId="21" xfId="22" applyFont="1" applyFill="1" applyBorder="1" applyAlignment="1">
      <alignment horizontal="left" vertical="top" wrapText="1"/>
    </xf>
    <xf numFmtId="0" fontId="116" fillId="29" borderId="6" xfId="0" applyFont="1" applyFill="1" applyBorder="1" applyAlignment="1">
      <alignment horizontal="left" vertical="top" textRotation="90" wrapText="1"/>
    </xf>
    <xf numFmtId="0" fontId="116" fillId="29" borderId="21" xfId="0" applyFont="1" applyFill="1" applyBorder="1" applyAlignment="1">
      <alignment horizontal="left" vertical="top"/>
    </xf>
    <xf numFmtId="49" fontId="102" fillId="29" borderId="6" xfId="0" applyNumberFormat="1" applyFont="1" applyFill="1" applyBorder="1" applyAlignment="1">
      <alignment horizontal="left" vertical="top"/>
    </xf>
    <xf numFmtId="0" fontId="85" fillId="35" borderId="14" xfId="0" applyFont="1" applyFill="1" applyBorder="1" applyAlignment="1">
      <alignment horizontal="left" vertical="top"/>
    </xf>
    <xf numFmtId="166" fontId="84" fillId="35" borderId="14" xfId="0" applyNumberFormat="1" applyFont="1" applyFill="1" applyBorder="1" applyAlignment="1">
      <alignment horizontal="left" vertical="top"/>
    </xf>
    <xf numFmtId="9" fontId="84" fillId="35" borderId="14" xfId="22" applyFont="1" applyFill="1" applyBorder="1" applyAlignment="1">
      <alignment horizontal="left" vertical="top" wrapText="1"/>
    </xf>
    <xf numFmtId="0" fontId="84" fillId="36" borderId="14" xfId="0" applyFont="1" applyFill="1" applyBorder="1" applyAlignment="1">
      <alignment horizontal="left" vertical="top" wrapText="1"/>
    </xf>
    <xf numFmtId="0" fontId="84" fillId="22" borderId="19" xfId="0" applyFont="1" applyFill="1" applyBorder="1" applyAlignment="1">
      <alignment horizontal="left" vertical="top" wrapText="1"/>
    </xf>
    <xf numFmtId="0" fontId="84" fillId="27" borderId="14" xfId="0" applyFont="1" applyFill="1" applyBorder="1" applyAlignment="1">
      <alignment horizontal="left" vertical="top" wrapText="1"/>
    </xf>
    <xf numFmtId="0" fontId="85" fillId="0" borderId="21" xfId="0" applyFont="1" applyBorder="1" applyAlignment="1" applyProtection="1">
      <alignment horizontal="left" vertical="top" wrapText="1"/>
      <protection locked="0"/>
    </xf>
    <xf numFmtId="0" fontId="116" fillId="29" borderId="18" xfId="0" applyFont="1" applyFill="1" applyBorder="1" applyAlignment="1">
      <alignment horizontal="left" vertical="top" wrapText="1"/>
    </xf>
    <xf numFmtId="49" fontId="85" fillId="29" borderId="102" xfId="0" applyNumberFormat="1" applyFont="1" applyFill="1" applyBorder="1" applyAlignment="1">
      <alignment horizontal="left" vertical="top"/>
    </xf>
    <xf numFmtId="0" fontId="116" fillId="29" borderId="102" xfId="0" quotePrefix="1" applyFont="1" applyFill="1" applyBorder="1" applyAlignment="1">
      <alignment horizontal="left" vertical="top" wrapText="1"/>
    </xf>
    <xf numFmtId="49" fontId="85" fillId="29" borderId="9" xfId="0" applyNumberFormat="1" applyFont="1" applyFill="1" applyBorder="1" applyAlignment="1">
      <alignment horizontal="left" vertical="top"/>
    </xf>
    <xf numFmtId="0" fontId="85" fillId="29" borderId="6" xfId="0" applyFont="1" applyFill="1" applyBorder="1" applyAlignment="1">
      <alignment horizontal="left" vertical="top" textRotation="90" wrapText="1"/>
    </xf>
    <xf numFmtId="166" fontId="84" fillId="21" borderId="24" xfId="0" applyNumberFormat="1" applyFont="1" applyFill="1" applyBorder="1" applyAlignment="1">
      <alignment horizontal="left" vertical="top"/>
    </xf>
    <xf numFmtId="9" fontId="84" fillId="21" borderId="24" xfId="22" applyFont="1" applyFill="1" applyBorder="1" applyAlignment="1">
      <alignment horizontal="left" vertical="top"/>
    </xf>
    <xf numFmtId="49" fontId="105" fillId="29" borderId="6" xfId="0" applyNumberFormat="1" applyFont="1" applyFill="1" applyBorder="1" applyAlignment="1">
      <alignment horizontal="left" vertical="top"/>
    </xf>
    <xf numFmtId="0" fontId="105" fillId="29" borderId="102" xfId="0" applyFont="1" applyFill="1" applyBorder="1" applyAlignment="1">
      <alignment horizontal="left" vertical="top" textRotation="90" wrapText="1"/>
    </xf>
    <xf numFmtId="49" fontId="105" fillId="29" borderId="8" xfId="0" applyNumberFormat="1" applyFont="1" applyFill="1" applyBorder="1" applyAlignment="1">
      <alignment horizontal="left" vertical="top"/>
    </xf>
    <xf numFmtId="9" fontId="84" fillId="21" borderId="21" xfId="22" applyFont="1" applyFill="1" applyBorder="1" applyAlignment="1">
      <alignment horizontal="left" vertical="top"/>
    </xf>
    <xf numFmtId="0" fontId="105" fillId="29" borderId="7" xfId="0" applyFont="1" applyFill="1" applyBorder="1" applyAlignment="1">
      <alignment horizontal="left" vertical="top" textRotation="90" wrapText="1"/>
    </xf>
    <xf numFmtId="9" fontId="86" fillId="29" borderId="21" xfId="22" applyFont="1" applyFill="1" applyBorder="1" applyAlignment="1">
      <alignment horizontal="left" vertical="top"/>
    </xf>
    <xf numFmtId="0" fontId="84" fillId="29" borderId="21" xfId="0" applyFont="1" applyFill="1" applyBorder="1" applyAlignment="1">
      <alignment horizontal="left" vertical="top"/>
    </xf>
    <xf numFmtId="0" fontId="116" fillId="29" borderId="14" xfId="0" quotePrefix="1" applyFont="1" applyFill="1" applyBorder="1" applyAlignment="1">
      <alignment horizontal="left" vertical="top" wrapText="1"/>
    </xf>
    <xf numFmtId="0" fontId="105" fillId="29" borderId="14" xfId="0" applyFont="1" applyFill="1" applyBorder="1" applyAlignment="1">
      <alignment horizontal="left" vertical="top" textRotation="90" wrapText="1"/>
    </xf>
    <xf numFmtId="166" fontId="86" fillId="29" borderId="21" xfId="0" applyNumberFormat="1" applyFont="1" applyFill="1" applyBorder="1" applyAlignment="1">
      <alignment horizontal="left" vertical="top"/>
    </xf>
    <xf numFmtId="0" fontId="84" fillId="29" borderId="38" xfId="0" applyFont="1" applyFill="1" applyBorder="1" applyAlignment="1">
      <alignment horizontal="left" vertical="top" wrapText="1"/>
    </xf>
    <xf numFmtId="9" fontId="86" fillId="29" borderId="14" xfId="22" applyFont="1" applyFill="1" applyBorder="1" applyAlignment="1">
      <alignment horizontal="left" vertical="top"/>
    </xf>
    <xf numFmtId="0" fontId="84" fillId="29" borderId="0" xfId="0" applyFont="1" applyFill="1" applyAlignment="1">
      <alignment horizontal="left" vertical="top" wrapText="1"/>
    </xf>
    <xf numFmtId="0" fontId="84" fillId="29" borderId="106" xfId="0" applyFont="1" applyFill="1" applyBorder="1" applyAlignment="1">
      <alignment horizontal="left" vertical="top" wrapText="1"/>
    </xf>
    <xf numFmtId="166" fontId="86" fillId="29" borderId="14" xfId="0" applyNumberFormat="1" applyFont="1" applyFill="1" applyBorder="1" applyAlignment="1">
      <alignment horizontal="left" vertical="top"/>
    </xf>
    <xf numFmtId="49" fontId="105" fillId="29" borderId="0" xfId="0" applyNumberFormat="1" applyFont="1" applyFill="1" applyAlignment="1">
      <alignment horizontal="left" vertical="top"/>
    </xf>
    <xf numFmtId="0" fontId="105" fillId="28" borderId="37" xfId="0" applyFont="1" applyFill="1" applyBorder="1" applyAlignment="1">
      <alignment horizontal="left" vertical="top" textRotation="90" wrapText="1"/>
    </xf>
    <xf numFmtId="0" fontId="84" fillId="30" borderId="21" xfId="0" applyFont="1" applyFill="1" applyBorder="1" applyAlignment="1">
      <alignment horizontal="left" vertical="top" wrapText="1"/>
    </xf>
    <xf numFmtId="49" fontId="85" fillId="29" borderId="0" xfId="0" applyNumberFormat="1" applyFont="1" applyFill="1" applyAlignment="1">
      <alignment horizontal="left" vertical="top" wrapText="1"/>
    </xf>
    <xf numFmtId="49" fontId="84" fillId="29" borderId="0" xfId="0" applyNumberFormat="1" applyFont="1" applyFill="1" applyAlignment="1">
      <alignment horizontal="left" vertical="top" wrapText="1"/>
    </xf>
    <xf numFmtId="49" fontId="84" fillId="29" borderId="19" xfId="0" applyNumberFormat="1" applyFont="1" applyFill="1" applyBorder="1" applyAlignment="1">
      <alignment horizontal="left" vertical="top"/>
    </xf>
    <xf numFmtId="49" fontId="85" fillId="29" borderId="38" xfId="0" applyNumberFormat="1" applyFont="1" applyFill="1" applyBorder="1" applyAlignment="1">
      <alignment horizontal="left" vertical="top" wrapText="1"/>
    </xf>
    <xf numFmtId="49" fontId="84" fillId="29" borderId="38" xfId="0" applyNumberFormat="1" applyFont="1" applyFill="1" applyBorder="1" applyAlignment="1">
      <alignment horizontal="left" vertical="top" wrapText="1"/>
    </xf>
    <xf numFmtId="0" fontId="86" fillId="30" borderId="14" xfId="0" applyFont="1" applyFill="1" applyBorder="1" applyAlignment="1">
      <alignment horizontal="left" vertical="top" wrapText="1"/>
    </xf>
    <xf numFmtId="49" fontId="86" fillId="29" borderId="21" xfId="0" applyNumberFormat="1" applyFont="1" applyFill="1" applyBorder="1" applyAlignment="1">
      <alignment horizontal="left" vertical="top"/>
    </xf>
    <xf numFmtId="0" fontId="116" fillId="29" borderId="21" xfId="0" quotePrefix="1" applyFont="1" applyFill="1" applyBorder="1" applyAlignment="1">
      <alignment horizontal="left" vertical="top" wrapText="1"/>
    </xf>
    <xf numFmtId="0" fontId="116" fillId="29" borderId="21" xfId="0" applyFont="1" applyFill="1" applyBorder="1" applyAlignment="1">
      <alignment horizontal="left" vertical="top" textRotation="90" wrapText="1"/>
    </xf>
    <xf numFmtId="0" fontId="86" fillId="30" borderId="21" xfId="0" applyFont="1" applyFill="1" applyBorder="1" applyAlignment="1">
      <alignment horizontal="left" vertical="top" wrapText="1"/>
    </xf>
    <xf numFmtId="9" fontId="116" fillId="29" borderId="21" xfId="22" applyFont="1" applyFill="1" applyBorder="1" applyAlignment="1">
      <alignment horizontal="left" vertical="top" wrapText="1"/>
    </xf>
    <xf numFmtId="0" fontId="119" fillId="29" borderId="21" xfId="0" quotePrefix="1" applyFont="1" applyFill="1" applyBorder="1" applyAlignment="1">
      <alignment horizontal="left" vertical="top" wrapText="1"/>
    </xf>
    <xf numFmtId="0" fontId="119" fillId="29" borderId="21" xfId="0" applyFont="1" applyFill="1" applyBorder="1" applyAlignment="1">
      <alignment horizontal="left" vertical="top" textRotation="90" wrapText="1"/>
    </xf>
    <xf numFmtId="0" fontId="120" fillId="30" borderId="21" xfId="0" applyFont="1" applyFill="1" applyBorder="1" applyAlignment="1">
      <alignment horizontal="left" vertical="top" wrapText="1"/>
    </xf>
    <xf numFmtId="166" fontId="120" fillId="29" borderId="21" xfId="0" applyNumberFormat="1" applyFont="1" applyFill="1" applyBorder="1" applyAlignment="1">
      <alignment horizontal="left" vertical="top"/>
    </xf>
    <xf numFmtId="9" fontId="119" fillId="29" borderId="21" xfId="22" applyFont="1" applyFill="1" applyBorder="1" applyAlignment="1">
      <alignment horizontal="left" vertical="top" wrapText="1"/>
    </xf>
    <xf numFmtId="0" fontId="84" fillId="18" borderId="21" xfId="0" applyFont="1" applyFill="1" applyBorder="1" applyAlignment="1">
      <alignment horizontal="left" vertical="top" wrapText="1"/>
    </xf>
    <xf numFmtId="9" fontId="84" fillId="17" borderId="21" xfId="22" applyFont="1" applyFill="1" applyBorder="1" applyAlignment="1">
      <alignment horizontal="left" vertical="top" wrapText="1"/>
    </xf>
    <xf numFmtId="0" fontId="84" fillId="0" borderId="0" xfId="0" applyFont="1" applyAlignment="1">
      <alignment horizontal="left" vertical="top"/>
    </xf>
    <xf numFmtId="166" fontId="110" fillId="0" borderId="33" xfId="0" applyNumberFormat="1" applyFont="1" applyBorder="1" applyAlignment="1">
      <alignment horizontal="left" vertical="top" wrapText="1"/>
    </xf>
    <xf numFmtId="166" fontId="110" fillId="0" borderId="21" xfId="0" applyNumberFormat="1" applyFont="1" applyBorder="1" applyAlignment="1">
      <alignment horizontal="left" vertical="top" wrapText="1"/>
    </xf>
    <xf numFmtId="9" fontId="110" fillId="0" borderId="14" xfId="22" applyFont="1" applyFill="1" applyBorder="1" applyAlignment="1">
      <alignment horizontal="left" vertical="top" wrapText="1"/>
    </xf>
    <xf numFmtId="166" fontId="110" fillId="0" borderId="17" xfId="0" applyNumberFormat="1" applyFont="1" applyBorder="1" applyAlignment="1">
      <alignment horizontal="left" vertical="top"/>
    </xf>
    <xf numFmtId="166" fontId="110" fillId="0" borderId="14" xfId="0" applyNumberFormat="1" applyFont="1" applyBorder="1" applyAlignment="1">
      <alignment horizontal="left" vertical="top"/>
    </xf>
    <xf numFmtId="166" fontId="112" fillId="0" borderId="14" xfId="0" applyNumberFormat="1" applyFont="1" applyBorder="1" applyAlignment="1">
      <alignment horizontal="left" vertical="top"/>
    </xf>
    <xf numFmtId="166" fontId="85" fillId="0" borderId="0" xfId="0" applyNumberFormat="1" applyFont="1" applyAlignment="1">
      <alignment horizontal="left" vertical="top"/>
    </xf>
    <xf numFmtId="166" fontId="110" fillId="0" borderId="34" xfId="0" applyNumberFormat="1" applyFont="1" applyBorder="1" applyAlignment="1">
      <alignment horizontal="left" vertical="top"/>
    </xf>
    <xf numFmtId="166" fontId="110" fillId="0" borderId="7" xfId="0" applyNumberFormat="1" applyFont="1" applyBorder="1" applyAlignment="1">
      <alignment horizontal="left" vertical="top"/>
    </xf>
    <xf numFmtId="166" fontId="84" fillId="0" borderId="7" xfId="0" applyNumberFormat="1" applyFont="1" applyBorder="1" applyAlignment="1">
      <alignment horizontal="left" vertical="top"/>
    </xf>
    <xf numFmtId="166" fontId="110" fillId="0" borderId="14" xfId="0" applyNumberFormat="1" applyFont="1" applyBorder="1" applyAlignment="1">
      <alignment horizontal="left" vertical="top" wrapText="1"/>
    </xf>
    <xf numFmtId="0" fontId="84" fillId="28" borderId="15" xfId="0" applyFont="1" applyFill="1" applyBorder="1" applyAlignment="1">
      <alignment horizontal="left" vertical="top" textRotation="90" wrapText="1"/>
    </xf>
    <xf numFmtId="10" fontId="84" fillId="28" borderId="14" xfId="22" applyNumberFormat="1" applyFont="1" applyFill="1" applyBorder="1" applyAlignment="1">
      <alignment horizontal="left" vertical="top"/>
    </xf>
    <xf numFmtId="10" fontId="84" fillId="0" borderId="14" xfId="22" applyNumberFormat="1" applyFont="1" applyBorder="1" applyAlignment="1">
      <alignment horizontal="left" vertical="top"/>
    </xf>
    <xf numFmtId="166" fontId="84" fillId="0" borderId="24" xfId="0" applyNumberFormat="1" applyFont="1" applyBorder="1" applyAlignment="1">
      <alignment horizontal="left" vertical="top"/>
    </xf>
    <xf numFmtId="10" fontId="84" fillId="21" borderId="14" xfId="22" applyNumberFormat="1" applyFont="1" applyFill="1" applyBorder="1" applyAlignment="1">
      <alignment horizontal="left" vertical="top"/>
    </xf>
    <xf numFmtId="49" fontId="125" fillId="29" borderId="14" xfId="0" applyNumberFormat="1" applyFont="1" applyFill="1" applyBorder="1" applyAlignment="1">
      <alignment horizontal="left" vertical="top"/>
    </xf>
    <xf numFmtId="49" fontId="126" fillId="29" borderId="15" xfId="0" applyNumberFormat="1" applyFont="1" applyFill="1" applyBorder="1" applyAlignment="1">
      <alignment horizontal="left" vertical="top" textRotation="90"/>
    </xf>
    <xf numFmtId="0" fontId="125" fillId="29" borderId="14" xfId="0" applyFont="1" applyFill="1" applyBorder="1" applyAlignment="1">
      <alignment horizontal="left" vertical="top"/>
    </xf>
    <xf numFmtId="166" fontId="127" fillId="29" borderId="14" xfId="0" applyNumberFormat="1" applyFont="1" applyFill="1" applyBorder="1" applyAlignment="1">
      <alignment horizontal="left" vertical="top"/>
    </xf>
    <xf numFmtId="166" fontId="128" fillId="29" borderId="14" xfId="0" applyNumberFormat="1" applyFont="1" applyFill="1" applyBorder="1" applyAlignment="1">
      <alignment horizontal="left" vertical="top"/>
    </xf>
    <xf numFmtId="166" fontId="126" fillId="29" borderId="14" xfId="0" applyNumberFormat="1" applyFont="1" applyFill="1" applyBorder="1" applyAlignment="1">
      <alignment horizontal="left" vertical="top"/>
    </xf>
    <xf numFmtId="49" fontId="130" fillId="29" borderId="14" xfId="0" applyNumberFormat="1" applyFont="1" applyFill="1" applyBorder="1" applyAlignment="1">
      <alignment horizontal="left" vertical="top" wrapText="1"/>
    </xf>
    <xf numFmtId="0" fontId="77" fillId="0" borderId="0" xfId="0" applyFont="1" applyAlignment="1">
      <alignment horizontal="left" vertical="top"/>
    </xf>
    <xf numFmtId="0" fontId="77" fillId="29" borderId="14" xfId="0" applyFont="1" applyFill="1" applyBorder="1" applyAlignment="1">
      <alignment horizontal="left" vertical="top"/>
    </xf>
    <xf numFmtId="49" fontId="131" fillId="29" borderId="14" xfId="0" applyNumberFormat="1" applyFont="1" applyFill="1" applyBorder="1" applyAlignment="1">
      <alignment horizontal="left" vertical="top" wrapText="1"/>
    </xf>
    <xf numFmtId="49" fontId="125" fillId="25" borderId="14" xfId="0" applyNumberFormat="1" applyFont="1" applyFill="1" applyBorder="1" applyAlignment="1">
      <alignment horizontal="left" vertical="top"/>
    </xf>
    <xf numFmtId="49" fontId="126" fillId="25" borderId="15" xfId="0" applyNumberFormat="1" applyFont="1" applyFill="1" applyBorder="1" applyAlignment="1">
      <alignment horizontal="left" vertical="top" textRotation="90"/>
    </xf>
    <xf numFmtId="0" fontId="125" fillId="25" borderId="14" xfId="0" applyFont="1" applyFill="1" applyBorder="1" applyAlignment="1">
      <alignment horizontal="left" vertical="top"/>
    </xf>
    <xf numFmtId="166" fontId="127" fillId="25" borderId="14" xfId="0" applyNumberFormat="1" applyFont="1" applyFill="1" applyBorder="1" applyAlignment="1">
      <alignment horizontal="left" vertical="top"/>
    </xf>
    <xf numFmtId="166" fontId="125" fillId="25" borderId="14" xfId="0" applyNumberFormat="1" applyFont="1" applyFill="1" applyBorder="1" applyAlignment="1">
      <alignment horizontal="left" vertical="top"/>
    </xf>
    <xf numFmtId="166" fontId="128" fillId="11" borderId="14" xfId="0" applyNumberFormat="1" applyFont="1" applyFill="1" applyBorder="1" applyAlignment="1">
      <alignment horizontal="left" vertical="top"/>
    </xf>
    <xf numFmtId="166" fontId="126" fillId="25" borderId="14" xfId="0" applyNumberFormat="1" applyFont="1" applyFill="1" applyBorder="1" applyAlignment="1">
      <alignment horizontal="left" vertical="top"/>
    </xf>
    <xf numFmtId="49" fontId="126" fillId="25" borderId="35" xfId="0" applyNumberFormat="1" applyFont="1" applyFill="1" applyBorder="1" applyAlignment="1">
      <alignment horizontal="left" vertical="top" wrapText="1"/>
    </xf>
    <xf numFmtId="49" fontId="126" fillId="25" borderId="17" xfId="0" applyNumberFormat="1" applyFont="1" applyFill="1" applyBorder="1" applyAlignment="1">
      <alignment horizontal="left" vertical="top" wrapText="1"/>
    </xf>
    <xf numFmtId="0" fontId="77" fillId="0" borderId="14" xfId="0" applyFont="1" applyBorder="1" applyAlignment="1">
      <alignment horizontal="left" vertical="top"/>
    </xf>
    <xf numFmtId="49" fontId="84" fillId="25" borderId="14" xfId="0" applyNumberFormat="1" applyFont="1" applyFill="1" applyBorder="1" applyAlignment="1">
      <alignment horizontal="left" vertical="top"/>
    </xf>
    <xf numFmtId="49" fontId="85" fillId="25" borderId="15" xfId="0" applyNumberFormat="1" applyFont="1" applyFill="1" applyBorder="1" applyAlignment="1">
      <alignment horizontal="left" vertical="top" textRotation="90"/>
    </xf>
    <xf numFmtId="0" fontId="84" fillId="25" borderId="14" xfId="0" applyFont="1" applyFill="1" applyBorder="1" applyAlignment="1">
      <alignment horizontal="left" vertical="top"/>
    </xf>
    <xf numFmtId="166" fontId="102" fillId="25" borderId="14" xfId="0" applyNumberFormat="1" applyFont="1" applyFill="1" applyBorder="1" applyAlignment="1">
      <alignment horizontal="left" vertical="top"/>
    </xf>
    <xf numFmtId="166" fontId="124" fillId="29" borderId="14" xfId="0" applyNumberFormat="1" applyFont="1" applyFill="1" applyBorder="1" applyAlignment="1">
      <alignment horizontal="left" vertical="top"/>
    </xf>
    <xf numFmtId="49" fontId="85" fillId="28" borderId="15" xfId="0" applyNumberFormat="1" applyFont="1" applyFill="1" applyBorder="1" applyAlignment="1">
      <alignment horizontal="left" vertical="top" textRotation="90"/>
    </xf>
    <xf numFmtId="0" fontId="77" fillId="0" borderId="0" xfId="0" applyFont="1" applyAlignment="1">
      <alignment horizontal="left" vertical="top" wrapText="1"/>
    </xf>
    <xf numFmtId="0" fontId="77" fillId="0" borderId="19" xfId="0" applyFont="1" applyBorder="1" applyAlignment="1">
      <alignment horizontal="left" vertical="top"/>
    </xf>
    <xf numFmtId="0" fontId="116" fillId="30" borderId="0" xfId="0" applyFont="1" applyFill="1" applyAlignment="1">
      <alignment horizontal="left" vertical="top" textRotation="90" wrapText="1"/>
    </xf>
    <xf numFmtId="9" fontId="84" fillId="29" borderId="14" xfId="22" applyFont="1" applyFill="1" applyBorder="1" applyAlignment="1">
      <alignment horizontal="left" vertical="top"/>
    </xf>
    <xf numFmtId="0" fontId="85" fillId="30" borderId="0" xfId="0" applyFont="1" applyFill="1" applyAlignment="1">
      <alignment horizontal="left" vertical="top" textRotation="90" wrapText="1"/>
    </xf>
    <xf numFmtId="169" fontId="84" fillId="0" borderId="14" xfId="22" applyNumberFormat="1" applyFont="1" applyBorder="1" applyAlignment="1">
      <alignment horizontal="left" vertical="top"/>
    </xf>
    <xf numFmtId="169" fontId="84" fillId="21" borderId="14" xfId="22" applyNumberFormat="1" applyFont="1" applyFill="1" applyBorder="1" applyAlignment="1">
      <alignment horizontal="left" vertical="top"/>
    </xf>
    <xf numFmtId="166" fontId="84" fillId="17" borderId="21" xfId="0" applyNumberFormat="1" applyFont="1" applyFill="1" applyBorder="1" applyAlignment="1">
      <alignment horizontal="left" vertical="top" wrapText="1"/>
    </xf>
    <xf numFmtId="0" fontId="84" fillId="17" borderId="21" xfId="0" applyFont="1" applyFill="1" applyBorder="1" applyAlignment="1">
      <alignment horizontal="left" vertical="top" wrapText="1"/>
    </xf>
    <xf numFmtId="0" fontId="84" fillId="17" borderId="15" xfId="0" applyFont="1" applyFill="1" applyBorder="1" applyAlignment="1">
      <alignment horizontal="left" vertical="top" wrapText="1"/>
    </xf>
    <xf numFmtId="0" fontId="85" fillId="17" borderId="35" xfId="0" applyFont="1" applyFill="1" applyBorder="1" applyAlignment="1">
      <alignment horizontal="left" vertical="top"/>
    </xf>
    <xf numFmtId="169" fontId="84" fillId="0" borderId="33" xfId="22" applyNumberFormat="1" applyFont="1" applyBorder="1" applyAlignment="1">
      <alignment horizontal="left" vertical="top" wrapText="1"/>
    </xf>
    <xf numFmtId="166" fontId="84" fillId="0" borderId="34" xfId="0" applyNumberFormat="1" applyFont="1" applyBorder="1" applyAlignment="1">
      <alignment horizontal="left" vertical="top"/>
    </xf>
    <xf numFmtId="166" fontId="84" fillId="0" borderId="17" xfId="0" applyNumberFormat="1" applyFont="1" applyBorder="1" applyAlignment="1">
      <alignment horizontal="left" vertical="top" wrapText="1"/>
    </xf>
    <xf numFmtId="166" fontId="84" fillId="17" borderId="17" xfId="0" applyNumberFormat="1" applyFont="1" applyFill="1" applyBorder="1" applyAlignment="1">
      <alignment horizontal="left" vertical="top" wrapText="1"/>
    </xf>
    <xf numFmtId="9" fontId="84" fillId="17" borderId="17" xfId="22" applyFont="1" applyFill="1" applyBorder="1" applyAlignment="1">
      <alignment horizontal="left" vertical="top" wrapText="1"/>
    </xf>
    <xf numFmtId="0" fontId="77" fillId="17" borderId="0" xfId="0" applyFont="1" applyFill="1" applyAlignment="1">
      <alignment horizontal="left" vertical="top"/>
    </xf>
    <xf numFmtId="49" fontId="85" fillId="25" borderId="36" xfId="0" applyNumberFormat="1" applyFont="1" applyFill="1" applyBorder="1" applyAlignment="1">
      <alignment horizontal="left" vertical="top" wrapText="1"/>
    </xf>
    <xf numFmtId="49" fontId="85" fillId="25" borderId="32" xfId="0" applyNumberFormat="1" applyFont="1" applyFill="1" applyBorder="1" applyAlignment="1">
      <alignment horizontal="left" vertical="top" wrapText="1"/>
    </xf>
    <xf numFmtId="169" fontId="84" fillId="28" borderId="14" xfId="22" applyNumberFormat="1" applyFont="1" applyFill="1" applyBorder="1" applyAlignment="1">
      <alignment horizontal="left" vertical="top" wrapText="1"/>
    </xf>
    <xf numFmtId="166" fontId="102" fillId="28" borderId="14" xfId="0" applyNumberFormat="1" applyFont="1" applyFill="1" applyBorder="1" applyAlignment="1">
      <alignment horizontal="left" vertical="top" wrapText="1"/>
    </xf>
    <xf numFmtId="49" fontId="116" fillId="29" borderId="9" xfId="0" applyNumberFormat="1" applyFont="1" applyFill="1" applyBorder="1" applyAlignment="1">
      <alignment horizontal="left" vertical="top"/>
    </xf>
    <xf numFmtId="49" fontId="116" fillId="29" borderId="6" xfId="0" applyNumberFormat="1" applyFont="1" applyFill="1" applyBorder="1" applyAlignment="1">
      <alignment horizontal="left" vertical="top"/>
    </xf>
    <xf numFmtId="0" fontId="86" fillId="29" borderId="14" xfId="0" applyFont="1" applyFill="1" applyBorder="1" applyAlignment="1">
      <alignment horizontal="left" vertical="top"/>
    </xf>
    <xf numFmtId="166" fontId="120" fillId="29" borderId="14" xfId="0" applyNumberFormat="1" applyFont="1" applyFill="1" applyBorder="1" applyAlignment="1">
      <alignment horizontal="left" vertical="top"/>
    </xf>
    <xf numFmtId="166" fontId="102" fillId="21" borderId="19" xfId="0" applyNumberFormat="1" applyFont="1" applyFill="1" applyBorder="1" applyAlignment="1">
      <alignment horizontal="left" vertical="top"/>
    </xf>
    <xf numFmtId="49" fontId="84" fillId="25" borderId="19" xfId="0" applyNumberFormat="1" applyFont="1" applyFill="1" applyBorder="1" applyAlignment="1">
      <alignment horizontal="left" vertical="top" wrapText="1"/>
    </xf>
    <xf numFmtId="0" fontId="84" fillId="25" borderId="19" xfId="0" applyFont="1" applyFill="1" applyBorder="1" applyAlignment="1">
      <alignment horizontal="left" vertical="top"/>
    </xf>
    <xf numFmtId="166" fontId="102" fillId="25" borderId="19" xfId="0" applyNumberFormat="1" applyFont="1" applyFill="1" applyBorder="1" applyAlignment="1">
      <alignment horizontal="left" vertical="top"/>
    </xf>
    <xf numFmtId="166" fontId="102" fillId="25" borderId="24" xfId="0" applyNumberFormat="1" applyFont="1" applyFill="1" applyBorder="1" applyAlignment="1">
      <alignment horizontal="left" vertical="top"/>
    </xf>
    <xf numFmtId="49" fontId="102" fillId="25" borderId="21" xfId="0" applyNumberFormat="1" applyFont="1" applyFill="1" applyBorder="1" applyAlignment="1">
      <alignment horizontal="left" vertical="top" wrapText="1"/>
    </xf>
    <xf numFmtId="49" fontId="101" fillId="25" borderId="21" xfId="0" applyNumberFormat="1" applyFont="1" applyFill="1" applyBorder="1" applyAlignment="1">
      <alignment horizontal="left" vertical="top" wrapText="1"/>
    </xf>
    <xf numFmtId="49" fontId="85" fillId="28" borderId="14" xfId="0" applyNumberFormat="1" applyFont="1" applyFill="1" applyBorder="1" applyAlignment="1">
      <alignment horizontal="left" vertical="top" textRotation="90"/>
    </xf>
    <xf numFmtId="169" fontId="84" fillId="28" borderId="21" xfId="22" applyNumberFormat="1" applyFont="1" applyFill="1" applyBorder="1" applyAlignment="1">
      <alignment horizontal="left" vertical="top"/>
    </xf>
    <xf numFmtId="166" fontId="102" fillId="21" borderId="14" xfId="0" applyNumberFormat="1" applyFont="1" applyFill="1" applyBorder="1" applyAlignment="1">
      <alignment horizontal="left" vertical="top"/>
    </xf>
    <xf numFmtId="0" fontId="116" fillId="30" borderId="11" xfId="0" applyFont="1" applyFill="1" applyBorder="1" applyAlignment="1">
      <alignment horizontal="left" vertical="top" wrapText="1"/>
    </xf>
    <xf numFmtId="49" fontId="86" fillId="29" borderId="21" xfId="0" applyNumberFormat="1" applyFont="1" applyFill="1" applyBorder="1" applyAlignment="1">
      <alignment horizontal="left" vertical="top" wrapText="1"/>
    </xf>
    <xf numFmtId="49" fontId="119" fillId="29" borderId="19" xfId="0" applyNumberFormat="1" applyFont="1" applyFill="1" applyBorder="1" applyAlignment="1">
      <alignment horizontal="left" vertical="top" wrapText="1"/>
    </xf>
    <xf numFmtId="169" fontId="84" fillId="21" borderId="21" xfId="22" applyNumberFormat="1" applyFont="1" applyFill="1" applyBorder="1" applyAlignment="1">
      <alignment horizontal="left" vertical="top"/>
    </xf>
    <xf numFmtId="0" fontId="116" fillId="30" borderId="34" xfId="0" applyFont="1" applyFill="1" applyBorder="1" applyAlignment="1">
      <alignment horizontal="left" vertical="top" wrapText="1"/>
    </xf>
    <xf numFmtId="0" fontId="116" fillId="29" borderId="29" xfId="0" applyFont="1" applyFill="1" applyBorder="1" applyAlignment="1">
      <alignment horizontal="left" vertical="top"/>
    </xf>
    <xf numFmtId="49" fontId="101" fillId="29" borderId="21" xfId="0" applyNumberFormat="1" applyFont="1" applyFill="1" applyBorder="1" applyAlignment="1">
      <alignment horizontal="left" vertical="top" wrapText="1"/>
    </xf>
    <xf numFmtId="166" fontId="102" fillId="0" borderId="21" xfId="0" applyNumberFormat="1" applyFont="1" applyBorder="1" applyAlignment="1">
      <alignment horizontal="left" vertical="top"/>
    </xf>
    <xf numFmtId="166" fontId="101" fillId="29" borderId="19" xfId="0" applyNumberFormat="1" applyFont="1" applyFill="1" applyBorder="1" applyAlignment="1">
      <alignment horizontal="left" vertical="top"/>
    </xf>
    <xf numFmtId="166" fontId="102" fillId="29" borderId="19" xfId="0" applyNumberFormat="1" applyFont="1" applyFill="1" applyBorder="1" applyAlignment="1">
      <alignment horizontal="left" vertical="top"/>
    </xf>
    <xf numFmtId="169" fontId="116" fillId="29" borderId="21" xfId="22" applyNumberFormat="1" applyFont="1" applyFill="1" applyBorder="1" applyAlignment="1">
      <alignment horizontal="left" vertical="top"/>
    </xf>
    <xf numFmtId="49" fontId="102" fillId="29" borderId="21" xfId="0" applyNumberFormat="1" applyFont="1" applyFill="1" applyBorder="1" applyAlignment="1">
      <alignment horizontal="left" vertical="top" wrapText="1"/>
    </xf>
    <xf numFmtId="49" fontId="84" fillId="29" borderId="29" xfId="0" applyNumberFormat="1" applyFont="1" applyFill="1" applyBorder="1" applyAlignment="1">
      <alignment horizontal="left" vertical="top"/>
    </xf>
    <xf numFmtId="0" fontId="85" fillId="30" borderId="19" xfId="0" applyFont="1" applyFill="1" applyBorder="1" applyAlignment="1">
      <alignment horizontal="left" vertical="top" wrapText="1"/>
    </xf>
    <xf numFmtId="49" fontId="102" fillId="29" borderId="24" xfId="0" applyNumberFormat="1" applyFont="1" applyFill="1" applyBorder="1" applyAlignment="1">
      <alignment horizontal="left" vertical="top" wrapText="1"/>
    </xf>
    <xf numFmtId="49" fontId="84" fillId="29" borderId="7" xfId="0" applyNumberFormat="1" applyFont="1" applyFill="1" applyBorder="1" applyAlignment="1">
      <alignment horizontal="left" vertical="top"/>
    </xf>
    <xf numFmtId="49" fontId="101" fillId="29" borderId="14" xfId="0" applyNumberFormat="1" applyFont="1" applyFill="1" applyBorder="1" applyAlignment="1">
      <alignment horizontal="left" vertical="top" wrapText="1"/>
    </xf>
    <xf numFmtId="0" fontId="84" fillId="21" borderId="34" xfId="0" applyFont="1" applyFill="1" applyBorder="1" applyAlignment="1">
      <alignment horizontal="left" vertical="top"/>
    </xf>
    <xf numFmtId="49" fontId="120" fillId="29" borderId="14" xfId="0" applyNumberFormat="1" applyFont="1" applyFill="1" applyBorder="1" applyAlignment="1">
      <alignment horizontal="left" vertical="top" wrapText="1"/>
    </xf>
    <xf numFmtId="49" fontId="119" fillId="29" borderId="14" xfId="0" applyNumberFormat="1" applyFont="1" applyFill="1" applyBorder="1" applyAlignment="1">
      <alignment horizontal="left" vertical="top" wrapText="1"/>
    </xf>
    <xf numFmtId="0" fontId="84" fillId="21" borderId="29" xfId="0" applyFont="1" applyFill="1" applyBorder="1" applyAlignment="1">
      <alignment horizontal="left" vertical="top"/>
    </xf>
    <xf numFmtId="166" fontId="120" fillId="29" borderId="19" xfId="0" applyNumberFormat="1" applyFont="1" applyFill="1" applyBorder="1" applyAlignment="1">
      <alignment horizontal="left" vertical="top"/>
    </xf>
    <xf numFmtId="49" fontId="86" fillId="29" borderId="6" xfId="0" applyNumberFormat="1" applyFont="1" applyFill="1" applyBorder="1" applyAlignment="1">
      <alignment horizontal="left" vertical="top"/>
    </xf>
    <xf numFmtId="166" fontId="119" fillId="29" borderId="19" xfId="0" applyNumberFormat="1" applyFont="1" applyFill="1" applyBorder="1" applyAlignment="1">
      <alignment horizontal="left" vertical="top"/>
    </xf>
    <xf numFmtId="49" fontId="123" fillId="29" borderId="14" xfId="0" applyNumberFormat="1" applyFont="1" applyFill="1" applyBorder="1" applyAlignment="1">
      <alignment horizontal="left" vertical="top"/>
    </xf>
    <xf numFmtId="0" fontId="123" fillId="30" borderId="14" xfId="0" applyFont="1" applyFill="1" applyBorder="1" applyAlignment="1">
      <alignment horizontal="left" vertical="top" wrapText="1"/>
    </xf>
    <xf numFmtId="0" fontId="123" fillId="29" borderId="14" xfId="0" applyFont="1" applyFill="1" applyBorder="1" applyAlignment="1">
      <alignment horizontal="left" vertical="top"/>
    </xf>
    <xf numFmtId="166" fontId="123" fillId="29" borderId="19" xfId="0" applyNumberFormat="1" applyFont="1" applyFill="1" applyBorder="1" applyAlignment="1">
      <alignment horizontal="left" vertical="top"/>
    </xf>
    <xf numFmtId="0" fontId="116" fillId="30" borderId="14" xfId="0" quotePrefix="1" applyFont="1" applyFill="1" applyBorder="1" applyAlignment="1">
      <alignment horizontal="left" vertical="top" wrapText="1"/>
    </xf>
    <xf numFmtId="0" fontId="85" fillId="0" borderId="7" xfId="0" applyFont="1" applyBorder="1" applyAlignment="1">
      <alignment horizontal="left" vertical="top"/>
    </xf>
    <xf numFmtId="166" fontId="102" fillId="0" borderId="19" xfId="0" applyNumberFormat="1" applyFont="1" applyBorder="1" applyAlignment="1">
      <alignment horizontal="left" vertical="top"/>
    </xf>
    <xf numFmtId="166" fontId="102" fillId="0" borderId="24" xfId="0" applyNumberFormat="1" applyFont="1" applyBorder="1" applyAlignment="1">
      <alignment horizontal="left" vertical="top"/>
    </xf>
    <xf numFmtId="166" fontId="102" fillId="21" borderId="24" xfId="0" applyNumberFormat="1" applyFont="1" applyFill="1" applyBorder="1" applyAlignment="1">
      <alignment horizontal="left" vertical="top"/>
    </xf>
    <xf numFmtId="0" fontId="85" fillId="27" borderId="14" xfId="0" applyFont="1" applyFill="1" applyBorder="1" applyAlignment="1">
      <alignment horizontal="left" vertical="top" textRotation="90" wrapText="1"/>
    </xf>
    <xf numFmtId="169" fontId="84" fillId="0" borderId="21" xfId="22" applyNumberFormat="1" applyFont="1" applyFill="1" applyBorder="1" applyAlignment="1">
      <alignment horizontal="left" vertical="top"/>
    </xf>
    <xf numFmtId="0" fontId="85" fillId="30" borderId="34" xfId="0" applyFont="1" applyFill="1" applyBorder="1" applyAlignment="1">
      <alignment horizontal="left" vertical="top" wrapText="1"/>
    </xf>
    <xf numFmtId="0" fontId="84" fillId="29" borderId="29" xfId="0" applyFont="1" applyFill="1" applyBorder="1" applyAlignment="1">
      <alignment horizontal="left" vertical="top"/>
    </xf>
    <xf numFmtId="49" fontId="102" fillId="0" borderId="21" xfId="0" applyNumberFormat="1" applyFont="1" applyBorder="1" applyAlignment="1">
      <alignment horizontal="left" vertical="top" wrapText="1"/>
    </xf>
    <xf numFmtId="49" fontId="84" fillId="28" borderId="0" xfId="0" applyNumberFormat="1" applyFont="1" applyFill="1" applyAlignment="1">
      <alignment horizontal="left" vertical="top"/>
    </xf>
    <xf numFmtId="0" fontId="84" fillId="27" borderId="14" xfId="0" applyFont="1" applyFill="1" applyBorder="1" applyAlignment="1">
      <alignment horizontal="left" vertical="top" textRotation="90" wrapText="1"/>
    </xf>
    <xf numFmtId="166" fontId="84" fillId="28" borderId="19" xfId="0" applyNumberFormat="1" applyFont="1" applyFill="1" applyBorder="1" applyAlignment="1">
      <alignment horizontal="left" vertical="top"/>
    </xf>
    <xf numFmtId="166" fontId="102" fillId="28" borderId="19" xfId="0" applyNumberFormat="1" applyFont="1" applyFill="1" applyBorder="1" applyAlignment="1">
      <alignment horizontal="left" vertical="top"/>
    </xf>
    <xf numFmtId="49" fontId="119" fillId="29" borderId="21" xfId="0" applyNumberFormat="1" applyFont="1" applyFill="1" applyBorder="1" applyAlignment="1">
      <alignment horizontal="left" vertical="top" wrapText="1"/>
    </xf>
    <xf numFmtId="49" fontId="120" fillId="29" borderId="21" xfId="0" applyNumberFormat="1" applyFont="1" applyFill="1" applyBorder="1" applyAlignment="1">
      <alignment horizontal="left" vertical="top" wrapText="1"/>
    </xf>
    <xf numFmtId="49" fontId="102" fillId="29" borderId="14" xfId="0" applyNumberFormat="1" applyFont="1" applyFill="1" applyBorder="1" applyAlignment="1">
      <alignment horizontal="left" vertical="top"/>
    </xf>
    <xf numFmtId="0" fontId="116" fillId="29" borderId="15" xfId="0" applyFont="1" applyFill="1" applyBorder="1" applyAlignment="1">
      <alignment horizontal="left" vertical="top"/>
    </xf>
    <xf numFmtId="0" fontId="116" fillId="29" borderId="8" xfId="0" applyFont="1" applyFill="1" applyBorder="1" applyAlignment="1">
      <alignment horizontal="left" vertical="top"/>
    </xf>
    <xf numFmtId="49" fontId="85" fillId="29" borderId="33" xfId="0" applyNumberFormat="1" applyFont="1" applyFill="1" applyBorder="1" applyAlignment="1">
      <alignment horizontal="left" vertical="top" wrapText="1"/>
    </xf>
    <xf numFmtId="49" fontId="101" fillId="29" borderId="19" xfId="0" applyNumberFormat="1" applyFont="1" applyFill="1" applyBorder="1" applyAlignment="1">
      <alignment horizontal="left" vertical="top" wrapText="1"/>
    </xf>
    <xf numFmtId="169" fontId="84" fillId="0" borderId="21" xfId="22" applyNumberFormat="1" applyFont="1" applyBorder="1" applyAlignment="1">
      <alignment horizontal="left" vertical="top"/>
    </xf>
    <xf numFmtId="166" fontId="102" fillId="21" borderId="21" xfId="0" applyNumberFormat="1" applyFont="1" applyFill="1" applyBorder="1" applyAlignment="1">
      <alignment horizontal="left" vertical="top"/>
    </xf>
    <xf numFmtId="49" fontId="116" fillId="29" borderId="21" xfId="0" applyNumberFormat="1" applyFont="1" applyFill="1" applyBorder="1" applyAlignment="1">
      <alignment horizontal="left" vertical="top" textRotation="90"/>
    </xf>
    <xf numFmtId="169" fontId="86" fillId="29" borderId="21" xfId="22" applyNumberFormat="1" applyFont="1" applyFill="1" applyBorder="1" applyAlignment="1">
      <alignment horizontal="left" vertical="top"/>
    </xf>
    <xf numFmtId="0" fontId="106" fillId="29" borderId="14" xfId="0" applyFont="1" applyFill="1" applyBorder="1" applyAlignment="1">
      <alignment horizontal="left" vertical="top" wrapText="1"/>
    </xf>
    <xf numFmtId="49" fontId="116" fillId="29" borderId="14" xfId="0" applyNumberFormat="1" applyFont="1" applyFill="1" applyBorder="1" applyAlignment="1">
      <alignment horizontal="left" vertical="top" textRotation="90"/>
    </xf>
    <xf numFmtId="49" fontId="85" fillId="25" borderId="19" xfId="0" applyNumberFormat="1" applyFont="1" applyFill="1" applyBorder="1" applyAlignment="1">
      <alignment horizontal="left" vertical="top" textRotation="90"/>
    </xf>
    <xf numFmtId="0" fontId="84" fillId="25" borderId="21" xfId="0" applyFont="1" applyFill="1" applyBorder="1" applyAlignment="1">
      <alignment horizontal="left" vertical="top"/>
    </xf>
    <xf numFmtId="0" fontId="103" fillId="25" borderId="24" xfId="0" applyFont="1" applyFill="1" applyBorder="1" applyAlignment="1">
      <alignment horizontal="left" vertical="top" wrapText="1"/>
    </xf>
    <xf numFmtId="0" fontId="116" fillId="30" borderId="6" xfId="0" applyFont="1" applyFill="1" applyBorder="1" applyAlignment="1">
      <alignment horizontal="left" vertical="top" textRotation="90" wrapText="1"/>
    </xf>
    <xf numFmtId="0" fontId="85" fillId="30" borderId="14" xfId="0" applyFont="1" applyFill="1" applyBorder="1" applyAlignment="1">
      <alignment horizontal="left" vertical="top" textRotation="90" wrapText="1"/>
    </xf>
    <xf numFmtId="169" fontId="84" fillId="29" borderId="21" xfId="22" applyNumberFormat="1" applyFont="1" applyFill="1" applyBorder="1" applyAlignment="1">
      <alignment horizontal="left" vertical="top"/>
    </xf>
    <xf numFmtId="49" fontId="101" fillId="0" borderId="14" xfId="0" applyNumberFormat="1" applyFont="1" applyBorder="1" applyAlignment="1">
      <alignment horizontal="left" vertical="top" wrapText="1"/>
    </xf>
    <xf numFmtId="0" fontId="116" fillId="30" borderId="14" xfId="0" applyFont="1" applyFill="1" applyBorder="1" applyAlignment="1">
      <alignment horizontal="left" vertical="top" textRotation="90" wrapText="1"/>
    </xf>
    <xf numFmtId="0" fontId="85" fillId="30" borderId="19" xfId="0" applyFont="1" applyFill="1" applyBorder="1" applyAlignment="1">
      <alignment horizontal="left" vertical="top" textRotation="90" wrapText="1"/>
    </xf>
    <xf numFmtId="49" fontId="85" fillId="17" borderId="19" xfId="0" applyNumberFormat="1" applyFont="1" applyFill="1" applyBorder="1" applyAlignment="1">
      <alignment horizontal="left" vertical="top" wrapText="1"/>
    </xf>
    <xf numFmtId="0" fontId="123" fillId="30" borderId="14" xfId="0" applyFont="1" applyFill="1" applyBorder="1" applyAlignment="1">
      <alignment horizontal="left" vertical="top" textRotation="90" wrapText="1"/>
    </xf>
    <xf numFmtId="169" fontId="123" fillId="29" borderId="21" xfId="22" applyNumberFormat="1" applyFont="1" applyFill="1" applyBorder="1" applyAlignment="1">
      <alignment horizontal="left" vertical="top"/>
    </xf>
    <xf numFmtId="49" fontId="85" fillId="17" borderId="14" xfId="0" applyNumberFormat="1" applyFont="1" applyFill="1" applyBorder="1" applyAlignment="1">
      <alignment horizontal="left" vertical="top" wrapText="1"/>
    </xf>
    <xf numFmtId="0" fontId="123" fillId="29" borderId="19" xfId="0" applyFont="1" applyFill="1" applyBorder="1" applyAlignment="1">
      <alignment horizontal="left" vertical="top"/>
    </xf>
    <xf numFmtId="0" fontId="85" fillId="30" borderId="7" xfId="0" applyFont="1" applyFill="1" applyBorder="1" applyAlignment="1">
      <alignment horizontal="left" vertical="top" textRotation="90" wrapText="1"/>
    </xf>
    <xf numFmtId="0" fontId="84" fillId="29" borderId="24" xfId="0" applyFont="1" applyFill="1" applyBorder="1" applyAlignment="1">
      <alignment horizontal="left" vertical="top"/>
    </xf>
    <xf numFmtId="169" fontId="84" fillId="17" borderId="21" xfId="22" applyNumberFormat="1" applyFont="1" applyFill="1" applyBorder="1" applyAlignment="1">
      <alignment horizontal="left" vertical="top" wrapText="1"/>
    </xf>
    <xf numFmtId="0" fontId="102" fillId="18" borderId="14" xfId="0" applyFont="1" applyFill="1" applyBorder="1" applyAlignment="1">
      <alignment horizontal="left" vertical="top" wrapText="1"/>
    </xf>
    <xf numFmtId="166" fontId="102" fillId="0" borderId="21" xfId="0" applyNumberFormat="1" applyFont="1" applyBorder="1" applyAlignment="1">
      <alignment horizontal="left" vertical="top" wrapText="1"/>
    </xf>
    <xf numFmtId="166" fontId="102" fillId="29" borderId="33" xfId="0" applyNumberFormat="1" applyFont="1" applyFill="1" applyBorder="1" applyAlignment="1">
      <alignment horizontal="left" vertical="top"/>
    </xf>
    <xf numFmtId="166" fontId="102" fillId="0" borderId="14" xfId="0" applyNumberFormat="1" applyFont="1" applyBorder="1" applyAlignment="1">
      <alignment horizontal="left" vertical="top" wrapText="1"/>
    </xf>
    <xf numFmtId="169" fontId="84" fillId="0" borderId="14" xfId="22" applyNumberFormat="1" applyFont="1" applyFill="1" applyBorder="1" applyAlignment="1">
      <alignment horizontal="left" vertical="top"/>
    </xf>
    <xf numFmtId="9" fontId="84" fillId="28" borderId="21" xfId="22" applyFont="1" applyFill="1" applyBorder="1" applyAlignment="1">
      <alignment horizontal="left" vertical="top"/>
    </xf>
    <xf numFmtId="49" fontId="85" fillId="29" borderId="14" xfId="0" applyNumberFormat="1" applyFont="1" applyFill="1" applyBorder="1" applyAlignment="1">
      <alignment horizontal="left" vertical="top" textRotation="90"/>
    </xf>
    <xf numFmtId="9" fontId="84" fillId="29" borderId="21" xfId="22" applyFont="1" applyFill="1" applyBorder="1" applyAlignment="1">
      <alignment horizontal="left" vertical="top"/>
    </xf>
    <xf numFmtId="0" fontId="73" fillId="29" borderId="14" xfId="0" applyFont="1" applyFill="1" applyBorder="1" applyAlignment="1">
      <alignment horizontal="left" vertical="top"/>
    </xf>
    <xf numFmtId="49" fontId="85" fillId="29" borderId="19" xfId="0" applyNumberFormat="1" applyFont="1" applyFill="1" applyBorder="1" applyAlignment="1">
      <alignment horizontal="left" vertical="top" textRotation="90"/>
    </xf>
    <xf numFmtId="0" fontId="73" fillId="0" borderId="14" xfId="0" applyFont="1" applyBorder="1" applyAlignment="1">
      <alignment horizontal="left" vertical="top"/>
    </xf>
    <xf numFmtId="169" fontId="84" fillId="28" borderId="14" xfId="22" applyNumberFormat="1" applyFont="1" applyFill="1" applyBorder="1" applyAlignment="1">
      <alignment horizontal="left" vertical="top"/>
    </xf>
    <xf numFmtId="169" fontId="116" fillId="29" borderId="14" xfId="22" applyNumberFormat="1" applyFont="1" applyFill="1" applyBorder="1" applyAlignment="1">
      <alignment horizontal="left" vertical="top"/>
    </xf>
    <xf numFmtId="49" fontId="85" fillId="29" borderId="6" xfId="0" applyNumberFormat="1" applyFont="1" applyFill="1" applyBorder="1" applyAlignment="1">
      <alignment horizontal="left" vertical="top"/>
    </xf>
    <xf numFmtId="0" fontId="85" fillId="30" borderId="7" xfId="0" applyFont="1" applyFill="1" applyBorder="1" applyAlignment="1">
      <alignment horizontal="left" vertical="top" wrapText="1"/>
    </xf>
    <xf numFmtId="0" fontId="84" fillId="29" borderId="7" xfId="0" applyFont="1" applyFill="1" applyBorder="1" applyAlignment="1">
      <alignment horizontal="left" vertical="top"/>
    </xf>
    <xf numFmtId="9" fontId="102" fillId="0" borderId="14" xfId="22" applyFont="1" applyBorder="1" applyAlignment="1">
      <alignment horizontal="left" vertical="top"/>
    </xf>
    <xf numFmtId="166" fontId="84" fillId="29" borderId="24" xfId="0" applyNumberFormat="1" applyFont="1" applyFill="1" applyBorder="1" applyAlignment="1">
      <alignment horizontal="left" vertical="top"/>
    </xf>
    <xf numFmtId="49" fontId="85" fillId="0" borderId="17" xfId="0" applyNumberFormat="1" applyFont="1" applyBorder="1" applyAlignment="1">
      <alignment horizontal="left" vertical="top" wrapText="1"/>
    </xf>
    <xf numFmtId="9" fontId="84" fillId="17" borderId="14" xfId="22" applyFont="1" applyFill="1" applyBorder="1" applyAlignment="1">
      <alignment horizontal="left" vertical="top" wrapText="1"/>
    </xf>
    <xf numFmtId="166" fontId="102" fillId="0" borderId="36" xfId="0" applyNumberFormat="1" applyFont="1" applyBorder="1" applyAlignment="1">
      <alignment horizontal="left" vertical="top" wrapText="1"/>
    </xf>
    <xf numFmtId="0" fontId="73" fillId="0" borderId="0" xfId="0" applyFont="1" applyAlignment="1">
      <alignment horizontal="left" vertical="top"/>
    </xf>
    <xf numFmtId="10" fontId="84" fillId="0" borderId="14" xfId="22" applyNumberFormat="1" applyFont="1" applyFill="1" applyBorder="1" applyAlignment="1">
      <alignment horizontal="left" vertical="top"/>
    </xf>
    <xf numFmtId="166" fontId="118" fillId="28" borderId="14" xfId="0" applyNumberFormat="1" applyFont="1" applyFill="1" applyBorder="1" applyAlignment="1">
      <alignment horizontal="left" vertical="top" wrapText="1"/>
    </xf>
    <xf numFmtId="10" fontId="118" fillId="28" borderId="14" xfId="22" applyNumberFormat="1" applyFont="1" applyFill="1" applyBorder="1" applyAlignment="1">
      <alignment horizontal="left" vertical="top" wrapText="1"/>
    </xf>
    <xf numFmtId="166" fontId="118" fillId="0" borderId="21" xfId="0" applyNumberFormat="1" applyFont="1" applyBorder="1" applyAlignment="1">
      <alignment horizontal="left" vertical="top"/>
    </xf>
    <xf numFmtId="169" fontId="118" fillId="0" borderId="14" xfId="22" applyNumberFormat="1" applyFont="1" applyFill="1" applyBorder="1" applyAlignment="1">
      <alignment horizontal="left" vertical="top" wrapText="1"/>
    </xf>
    <xf numFmtId="166" fontId="117" fillId="0" borderId="21" xfId="0" applyNumberFormat="1" applyFont="1" applyBorder="1" applyAlignment="1">
      <alignment horizontal="left" vertical="top"/>
    </xf>
    <xf numFmtId="166" fontId="118" fillId="21" borderId="14" xfId="0" applyNumberFormat="1" applyFont="1" applyFill="1" applyBorder="1" applyAlignment="1">
      <alignment horizontal="left" vertical="top"/>
    </xf>
    <xf numFmtId="169" fontId="118" fillId="21" borderId="14" xfId="22" applyNumberFormat="1" applyFont="1" applyFill="1" applyBorder="1" applyAlignment="1">
      <alignment horizontal="left" vertical="top" wrapText="1"/>
    </xf>
    <xf numFmtId="0" fontId="73" fillId="0" borderId="21" xfId="0" applyFont="1" applyBorder="1" applyAlignment="1">
      <alignment horizontal="left" vertical="top"/>
    </xf>
    <xf numFmtId="166" fontId="116" fillId="11" borderId="21" xfId="0" applyNumberFormat="1" applyFont="1" applyFill="1" applyBorder="1" applyAlignment="1">
      <alignment horizontal="left" vertical="top"/>
    </xf>
    <xf numFmtId="166" fontId="116" fillId="29" borderId="15" xfId="0" applyNumberFormat="1" applyFont="1" applyFill="1" applyBorder="1" applyAlignment="1">
      <alignment horizontal="left" vertical="top"/>
    </xf>
    <xf numFmtId="166" fontId="116" fillId="29" borderId="37" xfId="0" applyNumberFormat="1" applyFont="1" applyFill="1" applyBorder="1" applyAlignment="1">
      <alignment horizontal="left" vertical="top"/>
    </xf>
    <xf numFmtId="166" fontId="86" fillId="11" borderId="21" xfId="0" applyNumberFormat="1" applyFont="1" applyFill="1" applyBorder="1" applyAlignment="1">
      <alignment horizontal="left" vertical="top"/>
    </xf>
    <xf numFmtId="49" fontId="85" fillId="29" borderId="0" xfId="0" applyNumberFormat="1" applyFont="1" applyFill="1" applyAlignment="1">
      <alignment horizontal="left" vertical="top"/>
    </xf>
    <xf numFmtId="166" fontId="107" fillId="29" borderId="14" xfId="0" applyNumberFormat="1" applyFont="1" applyFill="1" applyBorder="1" applyAlignment="1">
      <alignment horizontal="left" vertical="top"/>
    </xf>
    <xf numFmtId="166" fontId="114" fillId="29" borderId="14" xfId="0" applyNumberFormat="1" applyFont="1" applyFill="1" applyBorder="1" applyAlignment="1">
      <alignment horizontal="left" vertical="top"/>
    </xf>
    <xf numFmtId="0" fontId="101" fillId="28" borderId="14" xfId="0" applyFont="1" applyFill="1" applyBorder="1" applyAlignment="1">
      <alignment horizontal="left" vertical="top" wrapText="1"/>
    </xf>
    <xf numFmtId="169" fontId="118" fillId="28" borderId="14" xfId="22" applyNumberFormat="1" applyFont="1" applyFill="1" applyBorder="1" applyAlignment="1">
      <alignment horizontal="left" vertical="top" wrapText="1"/>
    </xf>
    <xf numFmtId="10" fontId="118" fillId="0" borderId="21" xfId="22" applyNumberFormat="1" applyFont="1" applyBorder="1" applyAlignment="1">
      <alignment horizontal="left" vertical="top"/>
    </xf>
    <xf numFmtId="166" fontId="117" fillId="0" borderId="14" xfId="0" applyNumberFormat="1" applyFont="1" applyBorder="1" applyAlignment="1">
      <alignment horizontal="left" vertical="top"/>
    </xf>
    <xf numFmtId="10" fontId="118" fillId="21" borderId="14" xfId="22" applyNumberFormat="1" applyFont="1" applyFill="1" applyBorder="1" applyAlignment="1">
      <alignment horizontal="left" vertical="top"/>
    </xf>
    <xf numFmtId="166" fontId="118" fillId="0" borderId="14" xfId="0" applyNumberFormat="1" applyFont="1" applyBorder="1" applyAlignment="1">
      <alignment horizontal="left" vertical="top"/>
    </xf>
    <xf numFmtId="10" fontId="118" fillId="0" borderId="14" xfId="22" applyNumberFormat="1" applyFont="1" applyBorder="1" applyAlignment="1">
      <alignment horizontal="left" vertical="top"/>
    </xf>
    <xf numFmtId="169" fontId="118" fillId="0" borderId="14" xfId="22" applyNumberFormat="1" applyFont="1" applyBorder="1" applyAlignment="1">
      <alignment horizontal="left" vertical="top"/>
    </xf>
    <xf numFmtId="166" fontId="117" fillId="21" borderId="14" xfId="0" applyNumberFormat="1" applyFont="1" applyFill="1" applyBorder="1" applyAlignment="1">
      <alignment horizontal="left" vertical="top"/>
    </xf>
    <xf numFmtId="0" fontId="116" fillId="29" borderId="11" xfId="0" applyFont="1" applyFill="1" applyBorder="1" applyAlignment="1">
      <alignment horizontal="left" vertical="top" wrapText="1"/>
    </xf>
    <xf numFmtId="0" fontId="116" fillId="29" borderId="34" xfId="0" applyFont="1" applyFill="1" applyBorder="1" applyAlignment="1">
      <alignment horizontal="left" vertical="top" wrapText="1"/>
    </xf>
    <xf numFmtId="49" fontId="116" fillId="29" borderId="8" xfId="0" applyNumberFormat="1" applyFont="1" applyFill="1" applyBorder="1" applyAlignment="1">
      <alignment horizontal="left" vertical="top"/>
    </xf>
    <xf numFmtId="1" fontId="119" fillId="29" borderId="14" xfId="0" applyNumberFormat="1" applyFont="1" applyFill="1" applyBorder="1" applyAlignment="1">
      <alignment horizontal="left" vertical="top"/>
    </xf>
    <xf numFmtId="49" fontId="116" fillId="29" borderId="7" xfId="0" applyNumberFormat="1" applyFont="1" applyFill="1" applyBorder="1" applyAlignment="1">
      <alignment horizontal="left" vertical="top"/>
    </xf>
    <xf numFmtId="0" fontId="116" fillId="29" borderId="7" xfId="0" applyFont="1" applyFill="1" applyBorder="1" applyAlignment="1">
      <alignment horizontal="left" vertical="top" textRotation="90" wrapText="1"/>
    </xf>
    <xf numFmtId="10" fontId="118" fillId="21" borderId="21" xfId="22" applyNumberFormat="1" applyFont="1" applyFill="1" applyBorder="1" applyAlignment="1">
      <alignment horizontal="left" vertical="top"/>
    </xf>
    <xf numFmtId="169" fontId="118" fillId="21" borderId="14" xfId="22" applyNumberFormat="1" applyFont="1" applyFill="1" applyBorder="1" applyAlignment="1">
      <alignment horizontal="left" vertical="top"/>
    </xf>
    <xf numFmtId="168" fontId="126" fillId="29" borderId="14" xfId="0" applyNumberFormat="1" applyFont="1" applyFill="1" applyBorder="1" applyAlignment="1">
      <alignment horizontal="left" vertical="top"/>
    </xf>
    <xf numFmtId="0" fontId="134" fillId="29" borderId="14" xfId="0" applyFont="1" applyFill="1" applyBorder="1" applyAlignment="1">
      <alignment horizontal="left" vertical="top" textRotation="90" wrapText="1"/>
    </xf>
    <xf numFmtId="0" fontId="134" fillId="31" borderId="14" xfId="0" applyFont="1" applyFill="1" applyBorder="1" applyAlignment="1">
      <alignment horizontal="left" vertical="top"/>
    </xf>
    <xf numFmtId="166" fontId="134" fillId="29" borderId="14" xfId="0" applyNumberFormat="1" applyFont="1" applyFill="1" applyBorder="1" applyAlignment="1">
      <alignment horizontal="left" vertical="top"/>
    </xf>
    <xf numFmtId="166" fontId="135" fillId="29" borderId="14" xfId="0" applyNumberFormat="1" applyFont="1" applyFill="1" applyBorder="1" applyAlignment="1">
      <alignment horizontal="left" vertical="top"/>
    </xf>
    <xf numFmtId="166" fontId="15" fillId="29" borderId="14" xfId="0" applyNumberFormat="1" applyFont="1" applyFill="1" applyBorder="1" applyAlignment="1">
      <alignment horizontal="left" vertical="top"/>
    </xf>
    <xf numFmtId="166" fontId="15" fillId="31" borderId="14" xfId="0" applyNumberFormat="1" applyFont="1" applyFill="1" applyBorder="1" applyAlignment="1">
      <alignment horizontal="left" vertical="top"/>
    </xf>
    <xf numFmtId="0" fontId="83" fillId="29" borderId="14" xfId="0" applyFont="1" applyFill="1" applyBorder="1" applyAlignment="1">
      <alignment horizontal="left" vertical="top"/>
    </xf>
    <xf numFmtId="0" fontId="134" fillId="40" borderId="14" xfId="0" applyFont="1" applyFill="1" applyBorder="1" applyAlignment="1">
      <alignment horizontal="left" vertical="top"/>
    </xf>
    <xf numFmtId="166" fontId="134" fillId="41" borderId="14" xfId="0" applyNumberFormat="1" applyFont="1" applyFill="1" applyBorder="1" applyAlignment="1">
      <alignment horizontal="left" vertical="top"/>
    </xf>
    <xf numFmtId="0" fontId="134" fillId="29" borderId="14" xfId="0" applyFont="1" applyFill="1" applyBorder="1" applyAlignment="1">
      <alignment horizontal="left" vertical="top" wrapText="1"/>
    </xf>
    <xf numFmtId="166" fontId="134" fillId="31" borderId="14" xfId="0" applyNumberFormat="1" applyFont="1" applyFill="1" applyBorder="1" applyAlignment="1">
      <alignment horizontal="left" vertical="top"/>
    </xf>
    <xf numFmtId="166" fontId="135" fillId="31" borderId="14" xfId="0" applyNumberFormat="1" applyFont="1" applyFill="1" applyBorder="1" applyAlignment="1">
      <alignment horizontal="left" vertical="top"/>
    </xf>
    <xf numFmtId="168" fontId="126" fillId="41" borderId="14" xfId="0" applyNumberFormat="1" applyFont="1" applyFill="1" applyBorder="1" applyAlignment="1">
      <alignment horizontal="left" vertical="top"/>
    </xf>
    <xf numFmtId="166" fontId="15" fillId="29" borderId="19" xfId="0" applyNumberFormat="1" applyFont="1" applyFill="1" applyBorder="1" applyAlignment="1">
      <alignment horizontal="left" vertical="top"/>
    </xf>
    <xf numFmtId="0" fontId="126" fillId="29" borderId="9" xfId="0" applyFont="1" applyFill="1" applyBorder="1" applyAlignment="1">
      <alignment horizontal="left" vertical="top"/>
    </xf>
    <xf numFmtId="166" fontId="111" fillId="29" borderId="14" xfId="0" applyNumberFormat="1" applyFont="1" applyFill="1" applyBorder="1" applyAlignment="1">
      <alignment horizontal="left" vertical="top"/>
    </xf>
    <xf numFmtId="0" fontId="134" fillId="29" borderId="14" xfId="0" quotePrefix="1" applyFont="1" applyFill="1" applyBorder="1" applyAlignment="1">
      <alignment horizontal="left" vertical="top" wrapText="1"/>
    </xf>
    <xf numFmtId="166" fontId="15" fillId="29" borderId="15" xfId="0" applyNumberFormat="1" applyFont="1" applyFill="1" applyBorder="1" applyAlignment="1">
      <alignment horizontal="left" vertical="top"/>
    </xf>
    <xf numFmtId="168" fontId="126" fillId="25" borderId="14" xfId="0" applyNumberFormat="1" applyFont="1" applyFill="1" applyBorder="1" applyAlignment="1">
      <alignment horizontal="left" vertical="top"/>
    </xf>
    <xf numFmtId="166" fontId="134" fillId="25" borderId="14" xfId="0" applyNumberFormat="1" applyFont="1" applyFill="1" applyBorder="1" applyAlignment="1">
      <alignment horizontal="left" vertical="top"/>
    </xf>
    <xf numFmtId="166" fontId="111" fillId="29" borderId="21" xfId="0" applyNumberFormat="1" applyFont="1" applyFill="1" applyBorder="1" applyAlignment="1">
      <alignment horizontal="left" vertical="top"/>
    </xf>
    <xf numFmtId="9" fontId="118" fillId="0" borderId="21" xfId="22" applyFont="1" applyBorder="1" applyAlignment="1">
      <alignment horizontal="left" vertical="top"/>
    </xf>
    <xf numFmtId="9" fontId="118" fillId="21" borderId="14" xfId="22" applyFont="1" applyFill="1" applyBorder="1" applyAlignment="1">
      <alignment horizontal="left" vertical="top"/>
    </xf>
    <xf numFmtId="166" fontId="86" fillId="29" borderId="15" xfId="0" applyNumberFormat="1" applyFont="1" applyFill="1" applyBorder="1" applyAlignment="1">
      <alignment horizontal="left" vertical="top"/>
    </xf>
    <xf numFmtId="169" fontId="118" fillId="0" borderId="14" xfId="22" applyNumberFormat="1" applyFont="1" applyFill="1" applyBorder="1" applyAlignment="1">
      <alignment horizontal="left" vertical="top"/>
    </xf>
    <xf numFmtId="166" fontId="118" fillId="0" borderId="19" xfId="0" applyNumberFormat="1" applyFont="1" applyBorder="1" applyAlignment="1">
      <alignment horizontal="left" vertical="top"/>
    </xf>
    <xf numFmtId="9" fontId="118" fillId="0" borderId="14" xfId="22" applyFont="1" applyFill="1" applyBorder="1" applyAlignment="1">
      <alignment horizontal="left" vertical="top"/>
    </xf>
    <xf numFmtId="166" fontId="118" fillId="21" borderId="19" xfId="0" applyNumberFormat="1" applyFont="1" applyFill="1" applyBorder="1" applyAlignment="1">
      <alignment horizontal="left" vertical="top"/>
    </xf>
    <xf numFmtId="168" fontId="108" fillId="0" borderId="14" xfId="0" applyNumberFormat="1" applyFont="1" applyBorder="1" applyAlignment="1">
      <alignment horizontal="left" vertical="top"/>
    </xf>
    <xf numFmtId="0" fontId="15" fillId="0" borderId="14" xfId="0" applyFont="1" applyBorder="1" applyAlignment="1">
      <alignment horizontal="left" vertical="top" textRotation="90" wrapText="1"/>
    </xf>
    <xf numFmtId="166" fontId="109" fillId="0" borderId="14" xfId="0" applyNumberFormat="1" applyFont="1" applyBorder="1" applyAlignment="1">
      <alignment horizontal="left" vertical="top"/>
    </xf>
    <xf numFmtId="166" fontId="113" fillId="0" borderId="14" xfId="0" applyNumberFormat="1" applyFont="1" applyBorder="1" applyAlignment="1">
      <alignment horizontal="left" vertical="top"/>
    </xf>
    <xf numFmtId="0" fontId="116" fillId="29" borderId="6" xfId="0" quotePrefix="1" applyFont="1" applyFill="1" applyBorder="1" applyAlignment="1">
      <alignment horizontal="left" vertical="top" wrapText="1"/>
    </xf>
    <xf numFmtId="10" fontId="118" fillId="0" borderId="14" xfId="22" applyNumberFormat="1" applyFont="1" applyFill="1" applyBorder="1" applyAlignment="1">
      <alignment horizontal="left" vertical="top"/>
    </xf>
    <xf numFmtId="166" fontId="117" fillId="0" borderId="19" xfId="0" applyNumberFormat="1" applyFont="1" applyBorder="1" applyAlignment="1">
      <alignment horizontal="left" vertical="top"/>
    </xf>
    <xf numFmtId="0" fontId="85" fillId="29" borderId="6" xfId="0" applyFont="1" applyFill="1" applyBorder="1" applyAlignment="1">
      <alignment horizontal="left" vertical="top" wrapText="1"/>
    </xf>
    <xf numFmtId="166" fontId="117" fillId="29" borderId="14" xfId="0" applyNumberFormat="1" applyFont="1" applyFill="1" applyBorder="1" applyAlignment="1">
      <alignment horizontal="left" vertical="top"/>
    </xf>
    <xf numFmtId="10" fontId="118" fillId="28" borderId="14" xfId="22" applyNumberFormat="1" applyFont="1" applyFill="1" applyBorder="1" applyAlignment="1">
      <alignment horizontal="left" vertical="top"/>
    </xf>
    <xf numFmtId="0" fontId="116" fillId="29" borderId="17" xfId="0" applyFont="1" applyFill="1" applyBorder="1" applyAlignment="1">
      <alignment horizontal="left" vertical="top"/>
    </xf>
    <xf numFmtId="166" fontId="86" fillId="29" borderId="65" xfId="0" applyNumberFormat="1" applyFont="1" applyFill="1" applyBorder="1" applyAlignment="1">
      <alignment horizontal="left" vertical="top"/>
    </xf>
    <xf numFmtId="166" fontId="86" fillId="29" borderId="37" xfId="0" applyNumberFormat="1" applyFont="1" applyFill="1" applyBorder="1" applyAlignment="1">
      <alignment horizontal="left" vertical="top"/>
    </xf>
    <xf numFmtId="166" fontId="118" fillId="0" borderId="24" xfId="0" applyNumberFormat="1" applyFont="1" applyBorder="1" applyAlignment="1">
      <alignment horizontal="left" vertical="top"/>
    </xf>
    <xf numFmtId="10" fontId="118" fillId="0" borderId="24" xfId="22" applyNumberFormat="1" applyFont="1" applyBorder="1" applyAlignment="1">
      <alignment horizontal="left" vertical="top"/>
    </xf>
    <xf numFmtId="0" fontId="84" fillId="21" borderId="17" xfId="0" applyFont="1" applyFill="1" applyBorder="1" applyAlignment="1">
      <alignment horizontal="left" vertical="top"/>
    </xf>
    <xf numFmtId="166" fontId="118" fillId="0" borderId="9" xfId="0" applyNumberFormat="1" applyFont="1" applyBorder="1" applyAlignment="1">
      <alignment horizontal="left" vertical="top"/>
    </xf>
    <xf numFmtId="10" fontId="118" fillId="0" borderId="0" xfId="22" applyNumberFormat="1" applyFont="1" applyBorder="1" applyAlignment="1">
      <alignment horizontal="left" vertical="top"/>
    </xf>
    <xf numFmtId="169" fontId="107" fillId="0" borderId="14" xfId="22" applyNumberFormat="1" applyFont="1" applyBorder="1" applyAlignment="1">
      <alignment horizontal="left" vertical="top"/>
    </xf>
    <xf numFmtId="9" fontId="118" fillId="0" borderId="14" xfId="22" applyFont="1" applyBorder="1" applyAlignment="1">
      <alignment horizontal="left" vertical="top"/>
    </xf>
    <xf numFmtId="10" fontId="118" fillId="0" borderId="14" xfId="0" applyNumberFormat="1" applyFont="1" applyBorder="1" applyAlignment="1">
      <alignment horizontal="left" vertical="top"/>
    </xf>
    <xf numFmtId="10" fontId="117" fillId="0" borderId="14" xfId="0" applyNumberFormat="1" applyFont="1" applyBorder="1" applyAlignment="1">
      <alignment horizontal="left" vertical="top"/>
    </xf>
    <xf numFmtId="166" fontId="84" fillId="34" borderId="14" xfId="0" applyNumberFormat="1" applyFont="1" applyFill="1" applyBorder="1" applyAlignment="1">
      <alignment horizontal="left" vertical="top"/>
    </xf>
    <xf numFmtId="166" fontId="117" fillId="21" borderId="21" xfId="0" applyNumberFormat="1" applyFont="1" applyFill="1" applyBorder="1" applyAlignment="1">
      <alignment horizontal="left" vertical="top"/>
    </xf>
    <xf numFmtId="0" fontId="118" fillId="18" borderId="14" xfId="0" applyFont="1" applyFill="1" applyBorder="1" applyAlignment="1">
      <alignment horizontal="left" vertical="top" wrapText="1"/>
    </xf>
    <xf numFmtId="166" fontId="118" fillId="0" borderId="21" xfId="0" applyNumberFormat="1" applyFont="1" applyBorder="1" applyAlignment="1">
      <alignment horizontal="left" vertical="top" wrapText="1"/>
    </xf>
    <xf numFmtId="10" fontId="118" fillId="0" borderId="21" xfId="22" applyNumberFormat="1" applyFont="1" applyBorder="1" applyAlignment="1">
      <alignment horizontal="left" vertical="top" wrapText="1"/>
    </xf>
    <xf numFmtId="166" fontId="101" fillId="0" borderId="0" xfId="0" applyNumberFormat="1" applyFont="1" applyAlignment="1">
      <alignment horizontal="left" vertical="top" wrapText="1"/>
    </xf>
    <xf numFmtId="0" fontId="85" fillId="29" borderId="15" xfId="0" applyFont="1" applyFill="1" applyBorder="1" applyAlignment="1">
      <alignment horizontal="left" vertical="top" wrapText="1"/>
    </xf>
    <xf numFmtId="0" fontId="85" fillId="29" borderId="35" xfId="0" applyFont="1" applyFill="1" applyBorder="1" applyAlignment="1">
      <alignment horizontal="left" vertical="top" wrapText="1"/>
    </xf>
    <xf numFmtId="0" fontId="85" fillId="29" borderId="17" xfId="0" applyFont="1" applyFill="1" applyBorder="1" applyAlignment="1">
      <alignment horizontal="left" vertical="top" wrapText="1"/>
    </xf>
    <xf numFmtId="166" fontId="118" fillId="29" borderId="14" xfId="0" applyNumberFormat="1" applyFont="1" applyFill="1" applyBorder="1" applyAlignment="1">
      <alignment horizontal="left" vertical="top"/>
    </xf>
    <xf numFmtId="166" fontId="102" fillId="0" borderId="0" xfId="0" applyNumberFormat="1" applyFont="1" applyAlignment="1">
      <alignment horizontal="left" vertical="top"/>
    </xf>
    <xf numFmtId="166" fontId="118" fillId="0" borderId="6" xfId="0" applyNumberFormat="1" applyFont="1" applyBorder="1" applyAlignment="1">
      <alignment horizontal="left" vertical="top"/>
    </xf>
    <xf numFmtId="166" fontId="110" fillId="0" borderId="6" xfId="0" applyNumberFormat="1" applyFont="1" applyBorder="1" applyAlignment="1">
      <alignment horizontal="left" vertical="top"/>
    </xf>
    <xf numFmtId="0" fontId="86" fillId="29" borderId="21" xfId="0" applyFont="1" applyFill="1" applyBorder="1" applyAlignment="1">
      <alignment horizontal="left" vertical="top"/>
    </xf>
    <xf numFmtId="0" fontId="87" fillId="29" borderId="14" xfId="0" applyFont="1" applyFill="1" applyBorder="1" applyAlignment="1">
      <alignment horizontal="left" vertical="top"/>
    </xf>
    <xf numFmtId="166" fontId="84" fillId="34" borderId="21" xfId="0" applyNumberFormat="1" applyFont="1" applyFill="1" applyBorder="1" applyAlignment="1">
      <alignment horizontal="left" vertical="top"/>
    </xf>
    <xf numFmtId="166" fontId="112" fillId="0" borderId="21" xfId="0" applyNumberFormat="1" applyFont="1" applyBorder="1" applyAlignment="1">
      <alignment horizontal="left" vertical="top"/>
    </xf>
    <xf numFmtId="9" fontId="84" fillId="28" borderId="19" xfId="22" applyFont="1" applyFill="1" applyBorder="1" applyAlignment="1">
      <alignment horizontal="left" vertical="top"/>
    </xf>
    <xf numFmtId="9" fontId="84" fillId="0" borderId="14" xfId="22" applyFont="1" applyFill="1" applyBorder="1" applyAlignment="1">
      <alignment horizontal="left" vertical="top"/>
    </xf>
    <xf numFmtId="49" fontId="85" fillId="29" borderId="35" xfId="0" applyNumberFormat="1" applyFont="1" applyFill="1" applyBorder="1" applyAlignment="1">
      <alignment horizontal="left" vertical="top" wrapText="1"/>
    </xf>
    <xf numFmtId="49" fontId="85" fillId="29" borderId="36" xfId="0" applyNumberFormat="1" applyFont="1" applyFill="1" applyBorder="1" applyAlignment="1">
      <alignment horizontal="left" vertical="top" wrapText="1"/>
    </xf>
    <xf numFmtId="166" fontId="84" fillId="34" borderId="19" xfId="0" applyNumberFormat="1" applyFont="1" applyFill="1" applyBorder="1" applyAlignment="1">
      <alignment horizontal="left" vertical="top"/>
    </xf>
    <xf numFmtId="0" fontId="85" fillId="0" borderId="36" xfId="0" applyFont="1" applyBorder="1" applyAlignment="1">
      <alignment horizontal="left" vertical="top"/>
    </xf>
    <xf numFmtId="166" fontId="84" fillId="19" borderId="21" xfId="0" applyNumberFormat="1" applyFont="1" applyFill="1" applyBorder="1" applyAlignment="1">
      <alignment horizontal="left" vertical="top" wrapText="1"/>
    </xf>
    <xf numFmtId="166" fontId="116" fillId="0" borderId="14" xfId="0" applyNumberFormat="1" applyFont="1" applyBorder="1" applyAlignment="1">
      <alignment horizontal="left" vertical="top"/>
    </xf>
    <xf numFmtId="166" fontId="84" fillId="0" borderId="8" xfId="0" applyNumberFormat="1" applyFont="1" applyBorder="1" applyAlignment="1">
      <alignment horizontal="left" vertical="top"/>
    </xf>
    <xf numFmtId="166" fontId="84" fillId="0" borderId="15" xfId="0" applyNumberFormat="1" applyFont="1" applyBorder="1" applyAlignment="1">
      <alignment horizontal="left" vertical="top"/>
    </xf>
    <xf numFmtId="166" fontId="84" fillId="21" borderId="15" xfId="0" applyNumberFormat="1" applyFont="1" applyFill="1" applyBorder="1" applyAlignment="1">
      <alignment horizontal="left" vertical="top"/>
    </xf>
    <xf numFmtId="9" fontId="118" fillId="21" borderId="19" xfId="22" applyFont="1" applyFill="1" applyBorder="1" applyAlignment="1">
      <alignment horizontal="left" vertical="top"/>
    </xf>
    <xf numFmtId="166" fontId="84" fillId="0" borderId="29" xfId="0" applyNumberFormat="1" applyFont="1" applyBorder="1" applyAlignment="1">
      <alignment horizontal="left" vertical="top"/>
    </xf>
    <xf numFmtId="0" fontId="73" fillId="20" borderId="0" xfId="0" applyFont="1" applyFill="1" applyAlignment="1">
      <alignment horizontal="left" vertical="top"/>
    </xf>
    <xf numFmtId="9" fontId="118" fillId="0" borderId="19" xfId="22" applyFont="1" applyBorder="1" applyAlignment="1">
      <alignment horizontal="left" vertical="top"/>
    </xf>
    <xf numFmtId="166" fontId="84" fillId="0" borderId="31" xfId="0" applyNumberFormat="1" applyFont="1" applyBorder="1" applyAlignment="1">
      <alignment horizontal="left" vertical="top"/>
    </xf>
    <xf numFmtId="166" fontId="84" fillId="21" borderId="37" xfId="0" applyNumberFormat="1" applyFont="1" applyFill="1" applyBorder="1" applyAlignment="1">
      <alignment horizontal="left" vertical="top"/>
    </xf>
    <xf numFmtId="166" fontId="84" fillId="0" borderId="37" xfId="0" applyNumberFormat="1" applyFont="1" applyBorder="1" applyAlignment="1">
      <alignment horizontal="left" vertical="top"/>
    </xf>
    <xf numFmtId="166" fontId="117" fillId="21" borderId="19" xfId="0" applyNumberFormat="1" applyFont="1" applyFill="1" applyBorder="1" applyAlignment="1">
      <alignment horizontal="left" vertical="top"/>
    </xf>
    <xf numFmtId="0" fontId="87" fillId="11" borderId="0" xfId="0" applyFont="1" applyFill="1" applyAlignment="1">
      <alignment horizontal="left" vertical="top"/>
    </xf>
    <xf numFmtId="49" fontId="125" fillId="29" borderId="16" xfId="0" applyNumberFormat="1" applyFont="1" applyFill="1" applyBorder="1" applyAlignment="1">
      <alignment horizontal="left" vertical="top"/>
    </xf>
    <xf numFmtId="0" fontId="134" fillId="29" borderId="7" xfId="0" applyFont="1" applyFill="1" applyBorder="1" applyAlignment="1">
      <alignment horizontal="left" vertical="top" wrapText="1"/>
    </xf>
    <xf numFmtId="0" fontId="126" fillId="30" borderId="14" xfId="0" applyFont="1" applyFill="1" applyBorder="1" applyAlignment="1">
      <alignment horizontal="left" vertical="top" textRotation="90" wrapText="1"/>
    </xf>
    <xf numFmtId="166" fontId="134" fillId="29" borderId="8" xfId="0" applyNumberFormat="1" applyFont="1" applyFill="1" applyBorder="1" applyAlignment="1">
      <alignment horizontal="left" vertical="top"/>
    </xf>
    <xf numFmtId="166" fontId="125" fillId="29" borderId="14" xfId="0" applyNumberFormat="1" applyFont="1" applyFill="1" applyBorder="1" applyAlignment="1">
      <alignment horizontal="left" vertical="top"/>
    </xf>
    <xf numFmtId="166" fontId="125" fillId="29" borderId="15" xfId="0" applyNumberFormat="1" applyFont="1" applyFill="1" applyBorder="1" applyAlignment="1">
      <alignment horizontal="left" vertical="top"/>
    </xf>
    <xf numFmtId="49" fontId="127" fillId="29" borderId="14" xfId="0" applyNumberFormat="1" applyFont="1" applyFill="1" applyBorder="1" applyAlignment="1">
      <alignment horizontal="left" vertical="top" wrapText="1"/>
    </xf>
    <xf numFmtId="49" fontId="129" fillId="29" borderId="21" xfId="0" applyNumberFormat="1" applyFont="1" applyFill="1" applyBorder="1" applyAlignment="1">
      <alignment horizontal="left" vertical="top" wrapText="1"/>
    </xf>
    <xf numFmtId="166" fontId="134" fillId="32" borderId="8" xfId="0" applyNumberFormat="1" applyFont="1" applyFill="1" applyBorder="1" applyAlignment="1">
      <alignment horizontal="left" vertical="top"/>
    </xf>
    <xf numFmtId="166" fontId="134" fillId="32" borderId="14" xfId="0" applyNumberFormat="1" applyFont="1" applyFill="1" applyBorder="1" applyAlignment="1">
      <alignment horizontal="left" vertical="top"/>
    </xf>
    <xf numFmtId="166" fontId="135" fillId="32" borderId="14" xfId="0" applyNumberFormat="1" applyFont="1" applyFill="1" applyBorder="1" applyAlignment="1">
      <alignment horizontal="left" vertical="top"/>
    </xf>
    <xf numFmtId="166" fontId="134" fillId="32" borderId="6" xfId="0" applyNumberFormat="1" applyFont="1" applyFill="1" applyBorder="1" applyAlignment="1">
      <alignment horizontal="left" vertical="top"/>
    </xf>
    <xf numFmtId="166" fontId="134" fillId="29" borderId="8" xfId="3" applyNumberFormat="1" applyFont="1" applyFill="1" applyBorder="1" applyAlignment="1">
      <alignment horizontal="left" vertical="top"/>
    </xf>
    <xf numFmtId="166" fontId="134" fillId="29" borderId="14" xfId="3" applyNumberFormat="1" applyFont="1" applyFill="1" applyBorder="1" applyAlignment="1">
      <alignment horizontal="left" vertical="top"/>
    </xf>
    <xf numFmtId="166" fontId="135" fillId="29" borderId="14" xfId="3" applyNumberFormat="1" applyFont="1" applyFill="1" applyBorder="1" applyAlignment="1">
      <alignment horizontal="left" vertical="top"/>
    </xf>
    <xf numFmtId="0" fontId="126" fillId="30" borderId="19" xfId="0" applyFont="1" applyFill="1" applyBorder="1" applyAlignment="1">
      <alignment horizontal="left" vertical="top" textRotation="90" wrapText="1"/>
    </xf>
    <xf numFmtId="0" fontId="125" fillId="29" borderId="19" xfId="0" applyFont="1" applyFill="1" applyBorder="1" applyAlignment="1">
      <alignment horizontal="left" vertical="top"/>
    </xf>
    <xf numFmtId="166" fontId="134" fillId="32" borderId="29" xfId="0" applyNumberFormat="1" applyFont="1" applyFill="1" applyBorder="1" applyAlignment="1">
      <alignment horizontal="left" vertical="top"/>
    </xf>
    <xf numFmtId="166" fontId="125" fillId="29" borderId="19" xfId="0" applyNumberFormat="1" applyFont="1" applyFill="1" applyBorder="1" applyAlignment="1">
      <alignment horizontal="left" vertical="top"/>
    </xf>
    <xf numFmtId="166" fontId="125" fillId="29" borderId="31" xfId="0" applyNumberFormat="1" applyFont="1" applyFill="1" applyBorder="1" applyAlignment="1">
      <alignment horizontal="left" vertical="top"/>
    </xf>
    <xf numFmtId="166" fontId="125" fillId="29" borderId="65" xfId="0" applyNumberFormat="1" applyFont="1" applyFill="1" applyBorder="1" applyAlignment="1">
      <alignment horizontal="left" vertical="top"/>
    </xf>
    <xf numFmtId="166" fontId="117" fillId="28" borderId="14" xfId="0" applyNumberFormat="1" applyFont="1" applyFill="1" applyBorder="1" applyAlignment="1">
      <alignment horizontal="left" vertical="top"/>
    </xf>
    <xf numFmtId="166" fontId="84" fillId="21" borderId="31" xfId="0" applyNumberFormat="1" applyFont="1" applyFill="1" applyBorder="1" applyAlignment="1">
      <alignment horizontal="left" vertical="top"/>
    </xf>
    <xf numFmtId="49" fontId="84" fillId="25" borderId="0" xfId="0" applyNumberFormat="1" applyFont="1" applyFill="1" applyAlignment="1">
      <alignment horizontal="left" vertical="top"/>
    </xf>
    <xf numFmtId="0" fontId="84" fillId="26" borderId="0" xfId="0" applyFont="1" applyFill="1" applyAlignment="1">
      <alignment horizontal="left" vertical="top" wrapText="1"/>
    </xf>
    <xf numFmtId="0" fontId="85" fillId="26" borderId="0" xfId="0" applyFont="1" applyFill="1" applyAlignment="1">
      <alignment horizontal="left" vertical="top" textRotation="90" wrapText="1"/>
    </xf>
    <xf numFmtId="0" fontId="84" fillId="25" borderId="0" xfId="0" applyFont="1" applyFill="1" applyAlignment="1">
      <alignment horizontal="left" vertical="top"/>
    </xf>
    <xf numFmtId="166" fontId="117" fillId="25" borderId="14" xfId="0" applyNumberFormat="1" applyFont="1" applyFill="1" applyBorder="1" applyAlignment="1">
      <alignment horizontal="left" vertical="top"/>
    </xf>
    <xf numFmtId="166" fontId="84" fillId="25" borderId="15" xfId="0" applyNumberFormat="1" applyFont="1" applyFill="1" applyBorder="1" applyAlignment="1">
      <alignment horizontal="left" vertical="top"/>
    </xf>
    <xf numFmtId="166" fontId="84" fillId="25" borderId="21" xfId="0" applyNumberFormat="1" applyFont="1" applyFill="1" applyBorder="1" applyAlignment="1">
      <alignment horizontal="left" vertical="top"/>
    </xf>
    <xf numFmtId="166" fontId="118" fillId="0" borderId="33" xfId="0" applyNumberFormat="1" applyFont="1" applyBorder="1" applyAlignment="1">
      <alignment horizontal="left" vertical="top" wrapText="1"/>
    </xf>
    <xf numFmtId="9" fontId="118" fillId="0" borderId="21" xfId="22" applyFont="1" applyBorder="1" applyAlignment="1">
      <alignment horizontal="left" vertical="top" wrapText="1"/>
    </xf>
    <xf numFmtId="166" fontId="118" fillId="0" borderId="17" xfId="0" applyNumberFormat="1" applyFont="1" applyBorder="1" applyAlignment="1">
      <alignment horizontal="left" vertical="top"/>
    </xf>
    <xf numFmtId="166" fontId="118" fillId="0" borderId="52" xfId="0" applyNumberFormat="1" applyFont="1" applyBorder="1" applyAlignment="1">
      <alignment horizontal="left" vertical="top"/>
    </xf>
    <xf numFmtId="166" fontId="118" fillId="0" borderId="29" xfId="0" applyNumberFormat="1" applyFont="1" applyBorder="1" applyAlignment="1">
      <alignment horizontal="left" vertical="top"/>
    </xf>
    <xf numFmtId="166" fontId="118" fillId="0" borderId="35" xfId="0" applyNumberFormat="1" applyFont="1" applyBorder="1" applyAlignment="1">
      <alignment horizontal="left" vertical="top" wrapText="1"/>
    </xf>
    <xf numFmtId="166" fontId="118" fillId="0" borderId="15" xfId="0" applyNumberFormat="1" applyFont="1" applyBorder="1" applyAlignment="1">
      <alignment horizontal="left" vertical="top" wrapText="1"/>
    </xf>
    <xf numFmtId="49" fontId="127" fillId="29" borderId="19" xfId="0" applyNumberFormat="1" applyFont="1" applyFill="1" applyBorder="1" applyAlignment="1">
      <alignment horizontal="left" vertical="top" wrapText="1"/>
    </xf>
    <xf numFmtId="49" fontId="129" fillId="29" borderId="24" xfId="0" applyNumberFormat="1" applyFont="1" applyFill="1" applyBorder="1" applyAlignment="1">
      <alignment horizontal="left" vertical="top" wrapText="1"/>
    </xf>
    <xf numFmtId="49" fontId="102" fillId="29" borderId="19" xfId="0" applyNumberFormat="1" applyFont="1" applyFill="1" applyBorder="1" applyAlignment="1">
      <alignment horizontal="left" vertical="top" wrapText="1"/>
    </xf>
    <xf numFmtId="0" fontId="73" fillId="29" borderId="19" xfId="0" applyFont="1" applyFill="1" applyBorder="1" applyAlignment="1">
      <alignment horizontal="left" vertical="top"/>
    </xf>
    <xf numFmtId="2" fontId="85" fillId="0" borderId="21" xfId="0" applyNumberFormat="1" applyFont="1" applyBorder="1" applyAlignment="1">
      <alignment horizontal="left" vertical="top"/>
    </xf>
    <xf numFmtId="2" fontId="84" fillId="0" borderId="21" xfId="0" applyNumberFormat="1" applyFont="1" applyBorder="1" applyAlignment="1">
      <alignment horizontal="left" vertical="top"/>
    </xf>
    <xf numFmtId="2" fontId="102" fillId="0" borderId="21" xfId="0" applyNumberFormat="1" applyFont="1" applyBorder="1" applyAlignment="1">
      <alignment horizontal="left" vertical="top"/>
    </xf>
    <xf numFmtId="2" fontId="84" fillId="21" borderId="14" xfId="0" applyNumberFormat="1" applyFont="1" applyFill="1" applyBorder="1" applyAlignment="1">
      <alignment horizontal="left" vertical="top"/>
    </xf>
    <xf numFmtId="2" fontId="85" fillId="29" borderId="21" xfId="0" applyNumberFormat="1" applyFont="1" applyFill="1" applyBorder="1" applyAlignment="1">
      <alignment horizontal="left" vertical="top"/>
    </xf>
    <xf numFmtId="2" fontId="101" fillId="29" borderId="21" xfId="0" applyNumberFormat="1" applyFont="1" applyFill="1" applyBorder="1" applyAlignment="1">
      <alignment horizontal="left" vertical="top"/>
    </xf>
    <xf numFmtId="1" fontId="85" fillId="29" borderId="24" xfId="0" applyNumberFormat="1" applyFont="1" applyFill="1" applyBorder="1" applyAlignment="1">
      <alignment horizontal="left" vertical="top" wrapText="1"/>
    </xf>
    <xf numFmtId="2" fontId="85" fillId="29" borderId="14" xfId="0" applyNumberFormat="1" applyFont="1" applyFill="1" applyBorder="1" applyAlignment="1">
      <alignment horizontal="left" vertical="top" wrapText="1"/>
    </xf>
    <xf numFmtId="2" fontId="84" fillId="29" borderId="14" xfId="0" applyNumberFormat="1" applyFont="1" applyFill="1" applyBorder="1" applyAlignment="1">
      <alignment horizontal="left" vertical="top"/>
    </xf>
    <xf numFmtId="2" fontId="102" fillId="29" borderId="14" xfId="0" applyNumberFormat="1" applyFont="1" applyFill="1" applyBorder="1" applyAlignment="1">
      <alignment horizontal="left" vertical="top"/>
    </xf>
    <xf numFmtId="1" fontId="85" fillId="29" borderId="21" xfId="0" applyNumberFormat="1" applyFont="1" applyFill="1" applyBorder="1" applyAlignment="1">
      <alignment horizontal="left" vertical="top" wrapText="1"/>
    </xf>
    <xf numFmtId="2" fontId="84" fillId="29" borderId="21" xfId="0" applyNumberFormat="1" applyFont="1" applyFill="1" applyBorder="1" applyAlignment="1">
      <alignment horizontal="left" vertical="top"/>
    </xf>
    <xf numFmtId="2" fontId="102" fillId="29" borderId="21" xfId="0" applyNumberFormat="1" applyFont="1" applyFill="1" applyBorder="1" applyAlignment="1">
      <alignment horizontal="left" vertical="top"/>
    </xf>
    <xf numFmtId="9" fontId="116" fillId="29" borderId="19" xfId="22" applyFont="1" applyFill="1" applyBorder="1" applyAlignment="1">
      <alignment horizontal="left" vertical="top"/>
    </xf>
    <xf numFmtId="49" fontId="101" fillId="29" borderId="24" xfId="0" applyNumberFormat="1" applyFont="1" applyFill="1" applyBorder="1" applyAlignment="1">
      <alignment horizontal="left" vertical="top" wrapText="1"/>
    </xf>
    <xf numFmtId="0" fontId="84" fillId="30" borderId="7" xfId="0" applyFont="1" applyFill="1" applyBorder="1" applyAlignment="1">
      <alignment horizontal="left" vertical="top" wrapText="1"/>
    </xf>
    <xf numFmtId="166" fontId="84" fillId="29" borderId="19" xfId="0" applyNumberFormat="1" applyFont="1" applyFill="1" applyBorder="1" applyAlignment="1">
      <alignment horizontal="left" vertical="top"/>
    </xf>
    <xf numFmtId="9" fontId="84" fillId="29" borderId="19" xfId="22" applyFont="1" applyFill="1" applyBorder="1" applyAlignment="1">
      <alignment horizontal="left" vertical="top"/>
    </xf>
    <xf numFmtId="0" fontId="77" fillId="28" borderId="14" xfId="0" applyFont="1" applyFill="1" applyBorder="1" applyAlignment="1">
      <alignment horizontal="left" vertical="top"/>
    </xf>
    <xf numFmtId="0" fontId="85" fillId="26" borderId="14" xfId="0" applyFont="1" applyFill="1" applyBorder="1" applyAlignment="1">
      <alignment horizontal="left" vertical="top" wrapText="1"/>
    </xf>
    <xf numFmtId="0" fontId="85" fillId="28" borderId="14" xfId="0" applyFont="1" applyFill="1" applyBorder="1" applyAlignment="1">
      <alignment horizontal="left" vertical="top"/>
    </xf>
    <xf numFmtId="0" fontId="84" fillId="25" borderId="9" xfId="0" applyFont="1" applyFill="1" applyBorder="1" applyAlignment="1">
      <alignment horizontal="left" vertical="top"/>
    </xf>
    <xf numFmtId="166" fontId="102" fillId="25" borderId="21" xfId="0" applyNumberFormat="1" applyFont="1" applyFill="1" applyBorder="1" applyAlignment="1">
      <alignment horizontal="left" vertical="top"/>
    </xf>
    <xf numFmtId="166" fontId="84" fillId="25" borderId="37" xfId="0" applyNumberFormat="1" applyFont="1" applyFill="1" applyBorder="1" applyAlignment="1">
      <alignment horizontal="left" vertical="top"/>
    </xf>
    <xf numFmtId="0" fontId="85" fillId="0" borderId="29" xfId="0" applyFont="1" applyBorder="1" applyAlignment="1">
      <alignment horizontal="left" vertical="top"/>
    </xf>
    <xf numFmtId="0" fontId="84" fillId="29" borderId="9" xfId="0" applyFont="1" applyFill="1" applyBorder="1" applyAlignment="1">
      <alignment horizontal="left" vertical="top"/>
    </xf>
    <xf numFmtId="166" fontId="102" fillId="29" borderId="21" xfId="0" applyNumberFormat="1" applyFont="1" applyFill="1" applyBorder="1" applyAlignment="1">
      <alignment horizontal="left" vertical="top"/>
    </xf>
    <xf numFmtId="166" fontId="84" fillId="29" borderId="37" xfId="0" applyNumberFormat="1" applyFont="1" applyFill="1" applyBorder="1" applyAlignment="1">
      <alignment horizontal="left" vertical="top"/>
    </xf>
    <xf numFmtId="49" fontId="115" fillId="0" borderId="21" xfId="0" applyNumberFormat="1" applyFont="1" applyBorder="1" applyAlignment="1">
      <alignment horizontal="left" vertical="top" wrapText="1"/>
    </xf>
    <xf numFmtId="49" fontId="115" fillId="0" borderId="24" xfId="0" applyNumberFormat="1" applyFont="1" applyBorder="1" applyAlignment="1">
      <alignment horizontal="left" vertical="top" wrapText="1"/>
    </xf>
    <xf numFmtId="49" fontId="85" fillId="29" borderId="21" xfId="0" applyNumberFormat="1" applyFont="1" applyFill="1" applyBorder="1" applyAlignment="1">
      <alignment horizontal="left" vertical="top"/>
    </xf>
    <xf numFmtId="166" fontId="84" fillId="11" borderId="14" xfId="0" applyNumberFormat="1" applyFont="1" applyFill="1" applyBorder="1" applyAlignment="1">
      <alignment horizontal="left" vertical="top"/>
    </xf>
    <xf numFmtId="9" fontId="84" fillId="0" borderId="21" xfId="22" applyFont="1" applyBorder="1" applyAlignment="1">
      <alignment horizontal="left" vertical="top" wrapText="1"/>
    </xf>
    <xf numFmtId="0" fontId="101" fillId="0" borderId="0" xfId="0" applyFont="1"/>
    <xf numFmtId="0" fontId="139" fillId="0" borderId="0" xfId="0" applyFont="1" applyAlignment="1">
      <alignment horizontal="left" vertical="top"/>
    </xf>
    <xf numFmtId="0" fontId="139" fillId="0" borderId="14" xfId="0" applyFont="1" applyBorder="1" applyAlignment="1">
      <alignment horizontal="left" vertical="top"/>
    </xf>
    <xf numFmtId="0" fontId="139" fillId="0" borderId="0" xfId="0" applyFont="1"/>
    <xf numFmtId="0" fontId="139" fillId="11" borderId="0" xfId="0" applyFont="1" applyFill="1" applyAlignment="1">
      <alignment horizontal="left" vertical="top"/>
    </xf>
    <xf numFmtId="2" fontId="102" fillId="0" borderId="14" xfId="0" applyNumberFormat="1" applyFont="1" applyBorder="1" applyAlignment="1">
      <alignment horizontal="left" vertical="top"/>
    </xf>
    <xf numFmtId="2" fontId="102" fillId="21" borderId="19" xfId="0" applyNumberFormat="1" applyFont="1" applyFill="1" applyBorder="1" applyAlignment="1">
      <alignment horizontal="left" vertical="top"/>
    </xf>
    <xf numFmtId="0" fontId="84" fillId="29" borderId="6" xfId="0" applyFont="1" applyFill="1" applyBorder="1" applyAlignment="1">
      <alignment horizontal="left" vertical="top" wrapText="1"/>
    </xf>
    <xf numFmtId="0" fontId="85" fillId="37" borderId="9" xfId="0" applyFont="1" applyFill="1" applyBorder="1" applyAlignment="1">
      <alignment horizontal="left" vertical="top"/>
    </xf>
    <xf numFmtId="166" fontId="102" fillId="37" borderId="21" xfId="0" applyNumberFormat="1" applyFont="1" applyFill="1" applyBorder="1" applyAlignment="1">
      <alignment horizontal="left" vertical="top"/>
    </xf>
    <xf numFmtId="166" fontId="84" fillId="37" borderId="21" xfId="0" applyNumberFormat="1" applyFont="1" applyFill="1" applyBorder="1" applyAlignment="1">
      <alignment horizontal="left" vertical="top"/>
    </xf>
    <xf numFmtId="0" fontId="84" fillId="37" borderId="6" xfId="0" applyFont="1" applyFill="1" applyBorder="1" applyAlignment="1">
      <alignment horizontal="left" vertical="top"/>
    </xf>
    <xf numFmtId="166" fontId="102" fillId="37" borderId="14" xfId="0" applyNumberFormat="1" applyFont="1" applyFill="1" applyBorder="1" applyAlignment="1">
      <alignment horizontal="left" vertical="top"/>
    </xf>
    <xf numFmtId="166" fontId="84" fillId="37" borderId="14" xfId="0" applyNumberFormat="1" applyFont="1" applyFill="1" applyBorder="1" applyAlignment="1">
      <alignment horizontal="left" vertical="top"/>
    </xf>
    <xf numFmtId="0" fontId="85" fillId="37" borderId="6" xfId="0" applyFont="1" applyFill="1" applyBorder="1" applyAlignment="1">
      <alignment horizontal="left" vertical="top"/>
    </xf>
    <xf numFmtId="166" fontId="84" fillId="37" borderId="31" xfId="0" applyNumberFormat="1" applyFont="1" applyFill="1" applyBorder="1" applyAlignment="1">
      <alignment horizontal="left" vertical="top"/>
    </xf>
    <xf numFmtId="0" fontId="85" fillId="34" borderId="6" xfId="0" applyFont="1" applyFill="1" applyBorder="1" applyAlignment="1">
      <alignment horizontal="left" vertical="top"/>
    </xf>
    <xf numFmtId="166" fontId="84" fillId="34" borderId="31" xfId="0" applyNumberFormat="1" applyFont="1" applyFill="1" applyBorder="1" applyAlignment="1">
      <alignment horizontal="left" vertical="top"/>
    </xf>
    <xf numFmtId="0" fontId="85" fillId="21" borderId="7" xfId="0" applyFont="1" applyFill="1" applyBorder="1" applyAlignment="1">
      <alignment horizontal="left" vertical="top"/>
    </xf>
    <xf numFmtId="166" fontId="85" fillId="21" borderId="19" xfId="0" applyNumberFormat="1" applyFont="1" applyFill="1" applyBorder="1" applyAlignment="1">
      <alignment horizontal="left" vertical="top"/>
    </xf>
    <xf numFmtId="166" fontId="84" fillId="34" borderId="24" xfId="0" applyNumberFormat="1" applyFont="1" applyFill="1" applyBorder="1" applyAlignment="1">
      <alignment horizontal="left" vertical="top"/>
    </xf>
    <xf numFmtId="166" fontId="86" fillId="29" borderId="24" xfId="0" applyNumberFormat="1" applyFont="1" applyFill="1" applyBorder="1" applyAlignment="1">
      <alignment horizontal="left" vertical="top"/>
    </xf>
    <xf numFmtId="0" fontId="85" fillId="37" borderId="30" xfId="0" applyFont="1" applyFill="1" applyBorder="1" applyAlignment="1">
      <alignment horizontal="left" vertical="top"/>
    </xf>
    <xf numFmtId="166" fontId="102" fillId="37" borderId="9" xfId="0" applyNumberFormat="1" applyFont="1" applyFill="1" applyBorder="1" applyAlignment="1">
      <alignment horizontal="left" vertical="top"/>
    </xf>
    <xf numFmtId="166" fontId="84" fillId="37" borderId="9" xfId="0" applyNumberFormat="1" applyFont="1" applyFill="1" applyBorder="1" applyAlignment="1">
      <alignment horizontal="left" vertical="top"/>
    </xf>
    <xf numFmtId="166" fontId="84" fillId="37" borderId="0" xfId="0" applyNumberFormat="1" applyFont="1" applyFill="1" applyAlignment="1">
      <alignment horizontal="left" vertical="top"/>
    </xf>
    <xf numFmtId="0" fontId="85" fillId="37" borderId="11" xfId="0" applyFont="1" applyFill="1" applyBorder="1" applyAlignment="1">
      <alignment horizontal="left" vertical="top"/>
    </xf>
    <xf numFmtId="166" fontId="101" fillId="37" borderId="14" xfId="0" applyNumberFormat="1" applyFont="1" applyFill="1" applyBorder="1" applyAlignment="1">
      <alignment horizontal="left" vertical="top"/>
    </xf>
    <xf numFmtId="166" fontId="85" fillId="37" borderId="14" xfId="0" applyNumberFormat="1" applyFont="1" applyFill="1" applyBorder="1" applyAlignment="1">
      <alignment horizontal="left" vertical="top"/>
    </xf>
    <xf numFmtId="166" fontId="84" fillId="37" borderId="65" xfId="0" applyNumberFormat="1" applyFont="1" applyFill="1" applyBorder="1" applyAlignment="1">
      <alignment horizontal="left" vertical="top"/>
    </xf>
    <xf numFmtId="0" fontId="84" fillId="37" borderId="11" xfId="0" applyFont="1" applyFill="1" applyBorder="1" applyAlignment="1">
      <alignment horizontal="left" vertical="top"/>
    </xf>
    <xf numFmtId="166" fontId="84" fillId="37" borderId="37" xfId="0" applyNumberFormat="1" applyFont="1" applyFill="1" applyBorder="1" applyAlignment="1">
      <alignment horizontal="left" vertical="top"/>
    </xf>
    <xf numFmtId="0" fontId="84" fillId="21" borderId="18" xfId="0" applyFont="1" applyFill="1" applyBorder="1" applyAlignment="1">
      <alignment horizontal="left" vertical="top"/>
    </xf>
    <xf numFmtId="9" fontId="116" fillId="29" borderId="14" xfId="22" applyFont="1" applyFill="1" applyBorder="1" applyAlignment="1">
      <alignment horizontal="left" vertical="top"/>
    </xf>
    <xf numFmtId="1" fontId="85" fillId="29" borderId="14" xfId="0" applyNumberFormat="1" applyFont="1" applyFill="1" applyBorder="1" applyAlignment="1">
      <alignment horizontal="left" vertical="top"/>
    </xf>
    <xf numFmtId="0" fontId="84" fillId="35" borderId="14" xfId="0" applyFont="1" applyFill="1" applyBorder="1" applyAlignment="1">
      <alignment horizontal="left" vertical="top" wrapText="1"/>
    </xf>
    <xf numFmtId="2" fontId="102" fillId="35" borderId="14" xfId="0" applyNumberFormat="1" applyFont="1" applyFill="1" applyBorder="1" applyAlignment="1">
      <alignment horizontal="left" vertical="top" wrapText="1"/>
    </xf>
    <xf numFmtId="166" fontId="102" fillId="35" borderId="14" xfId="0" applyNumberFormat="1" applyFont="1" applyFill="1" applyBorder="1" applyAlignment="1">
      <alignment horizontal="left" vertical="top"/>
    </xf>
    <xf numFmtId="0" fontId="84" fillId="35" borderId="14" xfId="0" applyFont="1" applyFill="1" applyBorder="1" applyAlignment="1">
      <alignment horizontal="left" vertical="top"/>
    </xf>
    <xf numFmtId="0" fontId="85" fillId="35" borderId="6" xfId="0" applyFont="1" applyFill="1" applyBorder="1" applyAlignment="1">
      <alignment horizontal="left" vertical="top"/>
    </xf>
    <xf numFmtId="0" fontId="84" fillId="35" borderId="6" xfId="0" applyFont="1" applyFill="1" applyBorder="1" applyAlignment="1">
      <alignment horizontal="left" vertical="top"/>
    </xf>
    <xf numFmtId="9" fontId="73" fillId="0" borderId="0" xfId="22" applyFont="1" applyAlignment="1">
      <alignment horizontal="left" vertical="top"/>
    </xf>
    <xf numFmtId="9" fontId="85" fillId="21" borderId="14" xfId="22" applyFont="1" applyFill="1" applyBorder="1" applyAlignment="1">
      <alignment horizontal="left" vertical="top"/>
    </xf>
    <xf numFmtId="166" fontId="84" fillId="0" borderId="6" xfId="0" applyNumberFormat="1" applyFont="1" applyBorder="1" applyAlignment="1">
      <alignment horizontal="left" vertical="top"/>
    </xf>
    <xf numFmtId="166" fontId="102" fillId="0" borderId="6" xfId="0" applyNumberFormat="1" applyFont="1" applyBorder="1" applyAlignment="1">
      <alignment horizontal="left" vertical="top"/>
    </xf>
    <xf numFmtId="0" fontId="118" fillId="0" borderId="14" xfId="0" applyFont="1" applyBorder="1" applyAlignment="1">
      <alignment horizontal="center" vertical="center" wrapText="1"/>
    </xf>
    <xf numFmtId="0" fontId="107" fillId="0" borderId="14" xfId="0" applyFont="1" applyBorder="1" applyAlignment="1">
      <alignment horizontal="left" vertical="center" wrapText="1"/>
    </xf>
    <xf numFmtId="0" fontId="125" fillId="17" borderId="14" xfId="0" applyFont="1" applyFill="1" applyBorder="1" applyAlignment="1">
      <alignment horizontal="left" vertical="center"/>
    </xf>
    <xf numFmtId="0" fontId="125" fillId="17" borderId="14" xfId="0" applyFont="1" applyFill="1" applyBorder="1" applyAlignment="1">
      <alignment horizontal="left" vertical="center" wrapText="1"/>
    </xf>
    <xf numFmtId="0" fontId="125" fillId="17" borderId="14" xfId="0" applyFont="1" applyFill="1" applyBorder="1" applyAlignment="1">
      <alignment horizontal="center" vertical="center" wrapText="1"/>
    </xf>
    <xf numFmtId="0" fontId="107" fillId="0" borderId="14" xfId="0" applyFont="1" applyBorder="1" applyAlignment="1">
      <alignment horizontal="left" vertical="center"/>
    </xf>
    <xf numFmtId="0" fontId="107" fillId="0" borderId="14" xfId="0" applyFont="1" applyBorder="1" applyAlignment="1">
      <alignment horizontal="center" vertical="center"/>
    </xf>
    <xf numFmtId="0" fontId="125" fillId="17" borderId="14" xfId="0" applyFont="1" applyFill="1" applyBorder="1" applyAlignment="1">
      <alignment horizontal="center" vertical="center"/>
    </xf>
    <xf numFmtId="0" fontId="85" fillId="0" borderId="0" xfId="0" applyFont="1" applyAlignment="1">
      <alignment horizontal="left" vertical="center" wrapText="1"/>
    </xf>
    <xf numFmtId="0" fontId="85" fillId="0" borderId="19" xfId="0" applyFont="1" applyBorder="1" applyAlignment="1">
      <alignment horizontal="left" vertical="center" wrapText="1"/>
    </xf>
    <xf numFmtId="0" fontId="85" fillId="11" borderId="0" xfId="0" applyFont="1" applyFill="1"/>
    <xf numFmtId="166" fontId="85" fillId="11" borderId="0" xfId="0" applyNumberFormat="1" applyFont="1" applyFill="1"/>
    <xf numFmtId="166" fontId="73" fillId="11" borderId="0" xfId="0" applyNumberFormat="1" applyFont="1" applyFill="1"/>
    <xf numFmtId="166" fontId="82" fillId="11" borderId="0" xfId="0" applyNumberFormat="1" applyFont="1" applyFill="1"/>
    <xf numFmtId="166" fontId="84" fillId="0" borderId="0" xfId="0" applyNumberFormat="1" applyFont="1" applyAlignment="1">
      <alignment horizontal="center" vertical="center"/>
    </xf>
    <xf numFmtId="166" fontId="102" fillId="0" borderId="0" xfId="0" applyNumberFormat="1" applyFont="1" applyAlignment="1">
      <alignment horizontal="center" vertical="center"/>
    </xf>
    <xf numFmtId="166" fontId="87" fillId="0" borderId="0" xfId="0" applyNumberFormat="1" applyFont="1"/>
    <xf numFmtId="166" fontId="101" fillId="0" borderId="0" xfId="0" applyNumberFormat="1" applyFont="1"/>
    <xf numFmtId="166" fontId="135" fillId="25" borderId="14" xfId="0" applyNumberFormat="1" applyFont="1" applyFill="1" applyBorder="1" applyAlignment="1">
      <alignment horizontal="left" vertical="top"/>
    </xf>
    <xf numFmtId="166" fontId="84" fillId="17" borderId="14" xfId="0" applyNumberFormat="1" applyFont="1" applyFill="1" applyBorder="1" applyAlignment="1">
      <alignment horizontal="left" vertical="top" wrapText="1"/>
    </xf>
    <xf numFmtId="166" fontId="86" fillId="0" borderId="17" xfId="0" applyNumberFormat="1" applyFont="1" applyBorder="1" applyAlignment="1">
      <alignment horizontal="left" vertical="top"/>
    </xf>
    <xf numFmtId="166" fontId="86" fillId="0" borderId="21" xfId="0" applyNumberFormat="1" applyFont="1" applyBorder="1" applyAlignment="1">
      <alignment horizontal="left" vertical="top"/>
    </xf>
    <xf numFmtId="166" fontId="86" fillId="0" borderId="14" xfId="0" applyNumberFormat="1" applyFont="1" applyBorder="1" applyAlignment="1">
      <alignment horizontal="left" vertical="top"/>
    </xf>
    <xf numFmtId="0" fontId="85" fillId="0" borderId="24" xfId="0" applyFont="1" applyBorder="1" applyAlignment="1">
      <alignment horizontal="left" vertical="center" wrapText="1"/>
    </xf>
    <xf numFmtId="0" fontId="84" fillId="21" borderId="14" xfId="0" applyFont="1" applyFill="1" applyBorder="1" applyAlignment="1">
      <alignment horizontal="left" vertical="center" wrapText="1"/>
    </xf>
    <xf numFmtId="0" fontId="85" fillId="23" borderId="14" xfId="0" applyFont="1" applyFill="1" applyBorder="1" applyAlignment="1">
      <alignment horizontal="left" vertical="center" wrapText="1"/>
    </xf>
    <xf numFmtId="0" fontId="85" fillId="21" borderId="0" xfId="0" applyFont="1" applyFill="1" applyAlignment="1">
      <alignment horizontal="left" vertical="center"/>
    </xf>
    <xf numFmtId="0" fontId="85" fillId="21" borderId="0" xfId="0" applyFont="1" applyFill="1" applyAlignment="1">
      <alignment horizontal="left"/>
    </xf>
    <xf numFmtId="0" fontId="106" fillId="21" borderId="0" xfId="0" applyFont="1" applyFill="1" applyAlignment="1">
      <alignment horizontal="left" vertical="center"/>
    </xf>
    <xf numFmtId="10" fontId="85" fillId="0" borderId="14" xfId="0" applyNumberFormat="1" applyFont="1" applyBorder="1" applyAlignment="1">
      <alignment horizontal="left" vertical="center" wrapText="1"/>
    </xf>
    <xf numFmtId="0" fontId="101" fillId="21" borderId="0" xfId="0" applyFont="1" applyFill="1" applyAlignment="1">
      <alignment horizontal="left" vertical="center"/>
    </xf>
    <xf numFmtId="0" fontId="101" fillId="21" borderId="0" xfId="0" applyFont="1" applyFill="1" applyAlignment="1">
      <alignment horizontal="left"/>
    </xf>
    <xf numFmtId="0" fontId="113" fillId="0" borderId="14" xfId="0" applyFont="1" applyBorder="1" applyAlignment="1">
      <alignment horizontal="left" vertical="center" wrapText="1"/>
    </xf>
    <xf numFmtId="9" fontId="85" fillId="0" borderId="14" xfId="0" applyNumberFormat="1" applyFont="1" applyBorder="1" applyAlignment="1">
      <alignment horizontal="left" vertical="center" wrapText="1"/>
    </xf>
    <xf numFmtId="9" fontId="148" fillId="15" borderId="14" xfId="0" applyNumberFormat="1" applyFont="1" applyFill="1" applyBorder="1" applyAlignment="1">
      <alignment horizontal="left" vertical="center" wrapText="1"/>
    </xf>
    <xf numFmtId="3" fontId="85" fillId="0" borderId="24" xfId="0" applyNumberFormat="1" applyFont="1" applyBorder="1" applyAlignment="1">
      <alignment horizontal="left" vertical="center" wrapText="1"/>
    </xf>
    <xf numFmtId="3" fontId="85" fillId="0" borderId="14" xfId="0" applyNumberFormat="1" applyFont="1" applyBorder="1" applyAlignment="1">
      <alignment horizontal="left" vertical="center" wrapText="1"/>
    </xf>
    <xf numFmtId="3" fontId="85" fillId="0" borderId="17" xfId="0" applyNumberFormat="1" applyFont="1" applyBorder="1" applyAlignment="1">
      <alignment horizontal="left" vertical="center" wrapText="1"/>
    </xf>
    <xf numFmtId="3" fontId="85" fillId="0" borderId="33" xfId="0" applyNumberFormat="1" applyFont="1" applyBorder="1" applyAlignment="1">
      <alignment horizontal="left" vertical="center" wrapText="1"/>
    </xf>
    <xf numFmtId="0" fontId="85" fillId="0" borderId="17" xfId="0" applyFont="1" applyBorder="1" applyAlignment="1">
      <alignment horizontal="left" vertical="center" wrapText="1"/>
    </xf>
    <xf numFmtId="0" fontId="141" fillId="0" borderId="0" xfId="0" applyFont="1" applyAlignment="1">
      <alignment horizontal="left"/>
    </xf>
    <xf numFmtId="0" fontId="140" fillId="21" borderId="14" xfId="0" applyFont="1" applyFill="1" applyBorder="1" applyAlignment="1">
      <alignment horizontal="left" vertical="center" wrapText="1"/>
    </xf>
    <xf numFmtId="0" fontId="145" fillId="23" borderId="14" xfId="0" applyFont="1" applyFill="1" applyBorder="1" applyAlignment="1">
      <alignment horizontal="left" vertical="center" wrapText="1"/>
    </xf>
    <xf numFmtId="0" fontId="145" fillId="0" borderId="14" xfId="0" applyFont="1" applyBorder="1" applyAlignment="1">
      <alignment horizontal="left" vertical="center" wrapText="1"/>
    </xf>
    <xf numFmtId="0" fontId="141" fillId="0" borderId="14" xfId="0" applyFont="1" applyBorder="1" applyAlignment="1">
      <alignment horizontal="left" vertical="center" wrapText="1"/>
    </xf>
    <xf numFmtId="0" fontId="141" fillId="21" borderId="0" xfId="0" applyFont="1" applyFill="1" applyAlignment="1">
      <alignment horizontal="left"/>
    </xf>
    <xf numFmtId="0" fontId="141" fillId="23" borderId="14" xfId="0" applyFont="1" applyFill="1" applyBorder="1" applyAlignment="1">
      <alignment horizontal="left" vertical="center" wrapText="1"/>
    </xf>
    <xf numFmtId="0" fontId="141" fillId="0" borderId="15" xfId="0" applyFont="1" applyBorder="1" applyAlignment="1">
      <alignment horizontal="left" vertical="center" wrapText="1"/>
    </xf>
    <xf numFmtId="0" fontId="85" fillId="0" borderId="0" xfId="0" applyFont="1" applyAlignment="1">
      <alignment horizontal="justify" vertical="top"/>
    </xf>
    <xf numFmtId="0" fontId="101" fillId="0" borderId="0" xfId="0" applyFont="1" applyAlignment="1">
      <alignment horizontal="justify" vertical="top" wrapText="1"/>
    </xf>
    <xf numFmtId="0" fontId="119" fillId="0" borderId="0" xfId="0" applyFont="1" applyAlignment="1">
      <alignment horizontal="justify" vertical="top" wrapText="1"/>
    </xf>
    <xf numFmtId="166" fontId="85" fillId="29" borderId="21" xfId="0" applyNumberFormat="1" applyFont="1" applyFill="1" applyBorder="1" applyAlignment="1">
      <alignment horizontal="justify" vertical="top"/>
    </xf>
    <xf numFmtId="166" fontId="85" fillId="29" borderId="14" xfId="0" applyNumberFormat="1" applyFont="1" applyFill="1" applyBorder="1" applyAlignment="1">
      <alignment horizontal="justify" vertical="top"/>
    </xf>
    <xf numFmtId="166" fontId="84" fillId="29" borderId="14" xfId="0" applyNumberFormat="1" applyFont="1" applyFill="1" applyBorder="1" applyAlignment="1">
      <alignment horizontal="justify" vertical="top"/>
    </xf>
    <xf numFmtId="166" fontId="85" fillId="29" borderId="14" xfId="0" applyNumberFormat="1" applyFont="1" applyFill="1" applyBorder="1" applyAlignment="1">
      <alignment horizontal="justify" vertical="top" wrapText="1"/>
    </xf>
    <xf numFmtId="166" fontId="85" fillId="29" borderId="19" xfId="0" applyNumberFormat="1" applyFont="1" applyFill="1" applyBorder="1" applyAlignment="1">
      <alignment horizontal="justify" vertical="top" wrapText="1"/>
    </xf>
    <xf numFmtId="166" fontId="101" fillId="38" borderId="14" xfId="0" applyNumberFormat="1" applyFont="1" applyFill="1" applyBorder="1" applyAlignment="1">
      <alignment horizontal="justify" vertical="top" wrapText="1"/>
    </xf>
    <xf numFmtId="166" fontId="85" fillId="32" borderId="14" xfId="0" applyNumberFormat="1" applyFont="1" applyFill="1" applyBorder="1" applyAlignment="1">
      <alignment horizontal="justify" vertical="top" wrapText="1"/>
    </xf>
    <xf numFmtId="166" fontId="85" fillId="32" borderId="19" xfId="0" applyNumberFormat="1" applyFont="1" applyFill="1" applyBorder="1" applyAlignment="1">
      <alignment horizontal="justify" vertical="top" wrapText="1"/>
    </xf>
    <xf numFmtId="166" fontId="101" fillId="25" borderId="24" xfId="0" applyNumberFormat="1" applyFont="1" applyFill="1" applyBorder="1" applyAlignment="1">
      <alignment horizontal="justify" vertical="top" wrapText="1"/>
    </xf>
    <xf numFmtId="166" fontId="85" fillId="29" borderId="21" xfId="0" applyNumberFormat="1" applyFont="1" applyFill="1" applyBorder="1" applyAlignment="1">
      <alignment horizontal="justify" vertical="top" wrapText="1"/>
    </xf>
    <xf numFmtId="0" fontId="84" fillId="0" borderId="0" xfId="0" applyFont="1" applyAlignment="1">
      <alignment horizontal="justify" vertical="top" wrapText="1"/>
    </xf>
    <xf numFmtId="166" fontId="84" fillId="0" borderId="0" xfId="0" applyNumberFormat="1" applyFont="1" applyAlignment="1">
      <alignment horizontal="justify" vertical="top" wrapText="1"/>
    </xf>
    <xf numFmtId="166" fontId="102" fillId="0" borderId="0" xfId="0" applyNumberFormat="1" applyFont="1" applyAlignment="1">
      <alignment horizontal="justify" vertical="top" wrapText="1"/>
    </xf>
    <xf numFmtId="0" fontId="90" fillId="0" borderId="0" xfId="0" applyFont="1" applyAlignment="1">
      <alignment horizontal="justify" vertical="top"/>
    </xf>
    <xf numFmtId="0" fontId="84" fillId="28" borderId="15" xfId="0" applyFont="1" applyFill="1" applyBorder="1" applyAlignment="1">
      <alignment horizontal="justify" vertical="top" wrapText="1"/>
    </xf>
    <xf numFmtId="166" fontId="116" fillId="29" borderId="14" xfId="0" applyNumberFormat="1" applyFont="1" applyFill="1" applyBorder="1" applyAlignment="1">
      <alignment horizontal="justify" vertical="top"/>
    </xf>
    <xf numFmtId="166" fontId="119" fillId="29" borderId="14" xfId="0" applyNumberFormat="1" applyFont="1" applyFill="1" applyBorder="1" applyAlignment="1">
      <alignment horizontal="justify" vertical="top"/>
    </xf>
    <xf numFmtId="166" fontId="116" fillId="29" borderId="17" xfId="0" applyNumberFormat="1" applyFont="1" applyFill="1" applyBorder="1" applyAlignment="1">
      <alignment horizontal="justify" vertical="top"/>
    </xf>
    <xf numFmtId="166" fontId="85" fillId="29" borderId="17" xfId="0" applyNumberFormat="1" applyFont="1" applyFill="1" applyBorder="1" applyAlignment="1">
      <alignment horizontal="justify" vertical="top"/>
    </xf>
    <xf numFmtId="166" fontId="85" fillId="29" borderId="32" xfId="0" applyNumberFormat="1" applyFont="1" applyFill="1" applyBorder="1" applyAlignment="1">
      <alignment horizontal="justify" vertical="top"/>
    </xf>
    <xf numFmtId="0" fontId="91" fillId="0" borderId="0" xfId="0" applyFont="1" applyAlignment="1">
      <alignment horizontal="justify" vertical="top"/>
    </xf>
    <xf numFmtId="166" fontId="90" fillId="0" borderId="0" xfId="0" applyNumberFormat="1" applyFont="1" applyAlignment="1">
      <alignment horizontal="justify" vertical="top"/>
    </xf>
    <xf numFmtId="166" fontId="129" fillId="29" borderId="14" xfId="0" applyNumberFormat="1" applyFont="1" applyFill="1" applyBorder="1" applyAlignment="1">
      <alignment horizontal="justify" vertical="top" wrapText="1"/>
    </xf>
    <xf numFmtId="166" fontId="129" fillId="25" borderId="15" xfId="0" applyNumberFormat="1" applyFont="1" applyFill="1" applyBorder="1" applyAlignment="1">
      <alignment horizontal="justify" vertical="top" wrapText="1"/>
    </xf>
    <xf numFmtId="166" fontId="101" fillId="25" borderId="31" xfId="0" applyNumberFormat="1" applyFont="1" applyFill="1" applyBorder="1" applyAlignment="1">
      <alignment horizontal="justify" vertical="top" wrapText="1"/>
    </xf>
    <xf numFmtId="166" fontId="116" fillId="29" borderId="14" xfId="0" applyNumberFormat="1" applyFont="1" applyFill="1" applyBorder="1" applyAlignment="1">
      <alignment horizontal="justify" vertical="top" wrapText="1"/>
    </xf>
    <xf numFmtId="0" fontId="84" fillId="17" borderId="15" xfId="0" applyFont="1" applyFill="1" applyBorder="1" applyAlignment="1">
      <alignment horizontal="justify" vertical="top" wrapText="1"/>
    </xf>
    <xf numFmtId="166" fontId="78" fillId="0" borderId="0" xfId="0" applyNumberFormat="1" applyFont="1" applyAlignment="1">
      <alignment horizontal="justify" vertical="top" wrapText="1"/>
    </xf>
    <xf numFmtId="0" fontId="77" fillId="0" borderId="0" xfId="0" applyFont="1" applyAlignment="1">
      <alignment horizontal="justify" vertical="top"/>
    </xf>
    <xf numFmtId="0" fontId="81" fillId="0" borderId="0" xfId="0" applyFont="1" applyAlignment="1">
      <alignment horizontal="justify" vertical="top"/>
    </xf>
    <xf numFmtId="166" fontId="101" fillId="25" borderId="21" xfId="0" applyNumberFormat="1" applyFont="1" applyFill="1" applyBorder="1" applyAlignment="1">
      <alignment horizontal="justify" vertical="top" wrapText="1"/>
    </xf>
    <xf numFmtId="166" fontId="101" fillId="29" borderId="14" xfId="0" applyNumberFormat="1" applyFont="1" applyFill="1" applyBorder="1" applyAlignment="1">
      <alignment horizontal="justify" vertical="top" wrapText="1"/>
    </xf>
    <xf numFmtId="166" fontId="101" fillId="29" borderId="14" xfId="0" applyNumberFormat="1" applyFont="1" applyFill="1" applyBorder="1" applyAlignment="1">
      <alignment horizontal="justify" vertical="top"/>
    </xf>
    <xf numFmtId="166" fontId="119" fillId="29" borderId="14" xfId="0" applyNumberFormat="1" applyFont="1" applyFill="1" applyBorder="1" applyAlignment="1">
      <alignment horizontal="justify" vertical="top" wrapText="1"/>
    </xf>
    <xf numFmtId="166" fontId="116" fillId="29" borderId="21" xfId="0" applyNumberFormat="1" applyFont="1" applyFill="1" applyBorder="1" applyAlignment="1">
      <alignment horizontal="justify" vertical="top" wrapText="1"/>
    </xf>
    <xf numFmtId="166" fontId="119" fillId="29" borderId="21" xfId="0" applyNumberFormat="1" applyFont="1" applyFill="1" applyBorder="1" applyAlignment="1">
      <alignment horizontal="justify" vertical="top"/>
    </xf>
    <xf numFmtId="166" fontId="123" fillId="29" borderId="14" xfId="0" applyNumberFormat="1" applyFont="1" applyFill="1" applyBorder="1" applyAlignment="1">
      <alignment horizontal="justify" vertical="top"/>
    </xf>
    <xf numFmtId="166" fontId="116" fillId="29" borderId="21" xfId="0" applyNumberFormat="1" applyFont="1" applyFill="1" applyBorder="1" applyAlignment="1">
      <alignment horizontal="justify" vertical="top"/>
    </xf>
    <xf numFmtId="166" fontId="123" fillId="29" borderId="21" xfId="0" applyNumberFormat="1" applyFont="1" applyFill="1" applyBorder="1" applyAlignment="1">
      <alignment horizontal="justify" vertical="top" wrapText="1"/>
    </xf>
    <xf numFmtId="166" fontId="101" fillId="29" borderId="21" xfId="0" applyNumberFormat="1" applyFont="1" applyFill="1" applyBorder="1" applyAlignment="1">
      <alignment horizontal="justify" vertical="top"/>
    </xf>
    <xf numFmtId="166" fontId="101" fillId="29" borderId="21" xfId="0" applyNumberFormat="1" applyFont="1" applyFill="1" applyBorder="1" applyAlignment="1">
      <alignment horizontal="justify" vertical="top" wrapText="1"/>
    </xf>
    <xf numFmtId="166" fontId="101" fillId="29" borderId="19" xfId="0" applyNumberFormat="1" applyFont="1" applyFill="1" applyBorder="1" applyAlignment="1">
      <alignment horizontal="justify" vertical="top" wrapText="1"/>
    </xf>
    <xf numFmtId="0" fontId="86" fillId="0" borderId="0" xfId="0" applyFont="1" applyAlignment="1">
      <alignment horizontal="justify" vertical="top"/>
    </xf>
    <xf numFmtId="0" fontId="72" fillId="0" borderId="0" xfId="0" applyFont="1" applyAlignment="1">
      <alignment horizontal="justify" vertical="top" wrapText="1"/>
    </xf>
    <xf numFmtId="166" fontId="116" fillId="29" borderId="19" xfId="0" applyNumberFormat="1" applyFont="1" applyFill="1" applyBorder="1" applyAlignment="1">
      <alignment horizontal="justify" vertical="top" wrapText="1"/>
    </xf>
    <xf numFmtId="0" fontId="84" fillId="28" borderId="14" xfId="0" applyFont="1" applyFill="1" applyBorder="1" applyAlignment="1">
      <alignment horizontal="justify" vertical="top"/>
    </xf>
    <xf numFmtId="166" fontId="102" fillId="0" borderId="36" xfId="0" applyNumberFormat="1" applyFont="1" applyBorder="1" applyAlignment="1">
      <alignment horizontal="justify" vertical="top" wrapText="1"/>
    </xf>
    <xf numFmtId="0" fontId="73" fillId="0" borderId="0" xfId="0" applyFont="1" applyAlignment="1">
      <alignment horizontal="justify" vertical="top"/>
    </xf>
    <xf numFmtId="166" fontId="15" fillId="31" borderId="14" xfId="0" applyNumberFormat="1" applyFont="1" applyFill="1" applyBorder="1" applyAlignment="1">
      <alignment horizontal="justify" vertical="top"/>
    </xf>
    <xf numFmtId="166" fontId="85" fillId="29" borderId="24" xfId="0" applyNumberFormat="1" applyFont="1" applyFill="1" applyBorder="1" applyAlignment="1">
      <alignment horizontal="justify" vertical="top"/>
    </xf>
    <xf numFmtId="0" fontId="116" fillId="0" borderId="0" xfId="0" applyFont="1" applyAlignment="1">
      <alignment horizontal="justify" vertical="top"/>
    </xf>
    <xf numFmtId="166" fontId="107" fillId="25" borderId="14" xfId="0" applyNumberFormat="1" applyFont="1" applyFill="1" applyBorder="1" applyAlignment="1">
      <alignment horizontal="justify" vertical="top"/>
    </xf>
    <xf numFmtId="0" fontId="107" fillId="25" borderId="0" xfId="0" applyFont="1" applyFill="1" applyAlignment="1">
      <alignment horizontal="justify" vertical="top"/>
    </xf>
    <xf numFmtId="166" fontId="126" fillId="29" borderId="21" xfId="0" applyNumberFormat="1" applyFont="1" applyFill="1" applyBorder="1" applyAlignment="1">
      <alignment horizontal="justify" vertical="top"/>
    </xf>
    <xf numFmtId="166" fontId="126" fillId="29" borderId="24" xfId="0" applyNumberFormat="1" applyFont="1" applyFill="1" applyBorder="1" applyAlignment="1">
      <alignment horizontal="justify" vertical="top"/>
    </xf>
    <xf numFmtId="166" fontId="85" fillId="25" borderId="21" xfId="0" applyNumberFormat="1" applyFont="1" applyFill="1" applyBorder="1" applyAlignment="1">
      <alignment horizontal="justify" vertical="top" wrapText="1"/>
    </xf>
    <xf numFmtId="166" fontId="101" fillId="25" borderId="14" xfId="0" applyNumberFormat="1" applyFont="1" applyFill="1" applyBorder="1" applyAlignment="1">
      <alignment horizontal="justify" vertical="top"/>
    </xf>
    <xf numFmtId="166" fontId="85" fillId="25" borderId="14" xfId="0" applyNumberFormat="1" applyFont="1" applyFill="1" applyBorder="1" applyAlignment="1">
      <alignment horizontal="justify" vertical="top"/>
    </xf>
    <xf numFmtId="166" fontId="116" fillId="29" borderId="24" xfId="0" applyNumberFormat="1" applyFont="1" applyFill="1" applyBorder="1" applyAlignment="1">
      <alignment horizontal="justify" vertical="top"/>
    </xf>
    <xf numFmtId="0" fontId="84" fillId="35" borderId="14" xfId="0" applyFont="1" applyFill="1" applyBorder="1" applyAlignment="1">
      <alignment horizontal="justify" vertical="top" wrapText="1"/>
    </xf>
    <xf numFmtId="166" fontId="102" fillId="0" borderId="0" xfId="0" applyNumberFormat="1" applyFont="1" applyAlignment="1">
      <alignment horizontal="justify" vertical="top"/>
    </xf>
    <xf numFmtId="166" fontId="84" fillId="0" borderId="0" xfId="0" applyNumberFormat="1" applyFont="1" applyAlignment="1">
      <alignment horizontal="justify" vertical="top"/>
    </xf>
    <xf numFmtId="0" fontId="75" fillId="0" borderId="0" xfId="0" applyFont="1" applyAlignment="1">
      <alignment horizontal="justify" vertical="top"/>
    </xf>
    <xf numFmtId="0" fontId="141" fillId="21" borderId="14" xfId="0" applyFont="1" applyFill="1" applyBorder="1" applyAlignment="1">
      <alignment horizontal="left"/>
    </xf>
    <xf numFmtId="9" fontId="84" fillId="21" borderId="19" xfId="22" applyFont="1" applyFill="1" applyBorder="1" applyAlignment="1">
      <alignment horizontal="left" vertical="top" wrapText="1"/>
    </xf>
    <xf numFmtId="0" fontId="141" fillId="0" borderId="17" xfId="0" applyFont="1" applyBorder="1" applyAlignment="1">
      <alignment horizontal="left" vertical="center" wrapText="1"/>
    </xf>
    <xf numFmtId="0" fontId="153" fillId="0" borderId="14" xfId="0" applyFont="1" applyBorder="1" applyAlignment="1">
      <alignment vertical="center" wrapText="1"/>
    </xf>
    <xf numFmtId="166" fontId="85" fillId="29" borderId="114" xfId="0" applyNumberFormat="1" applyFont="1" applyFill="1" applyBorder="1" applyAlignment="1">
      <alignment horizontal="justify" vertical="top"/>
    </xf>
    <xf numFmtId="0" fontId="105" fillId="29" borderId="18" xfId="0" applyFont="1" applyFill="1" applyBorder="1" applyAlignment="1">
      <alignment horizontal="left" vertical="top" textRotation="90" wrapText="1"/>
    </xf>
    <xf numFmtId="0" fontId="84" fillId="29" borderId="14" xfId="0" applyFont="1" applyFill="1" applyBorder="1" applyAlignment="1">
      <alignment horizontal="left" vertical="top" wrapText="1"/>
    </xf>
    <xf numFmtId="0" fontId="85" fillId="0" borderId="82" xfId="10" applyFont="1" applyBorder="1" applyAlignment="1">
      <alignment horizontal="left" vertical="top" wrapText="1"/>
    </xf>
    <xf numFmtId="0" fontId="85" fillId="0" borderId="83" xfId="10" applyFont="1" applyBorder="1" applyAlignment="1">
      <alignment horizontal="left" vertical="top" wrapText="1"/>
    </xf>
    <xf numFmtId="0" fontId="72" fillId="0" borderId="84" xfId="0" applyFont="1" applyBorder="1" applyAlignment="1">
      <alignment horizontal="center"/>
    </xf>
    <xf numFmtId="0" fontId="72" fillId="0" borderId="0" xfId="0" applyFont="1" applyAlignment="1">
      <alignment horizontal="center"/>
    </xf>
    <xf numFmtId="0" fontId="72" fillId="0" borderId="85" xfId="0" applyFont="1" applyBorder="1" applyAlignment="1">
      <alignment horizontal="center"/>
    </xf>
    <xf numFmtId="0" fontId="138" fillId="17" borderId="110" xfId="0" applyFont="1" applyFill="1" applyBorder="1" applyAlignment="1">
      <alignment horizontal="center" vertical="center" wrapText="1"/>
    </xf>
    <xf numFmtId="0" fontId="85" fillId="0" borderId="110" xfId="0" applyFont="1" applyBorder="1" applyAlignment="1">
      <alignment horizontal="center" vertical="center" wrapText="1"/>
    </xf>
    <xf numFmtId="0" fontId="85" fillId="0" borderId="81" xfId="0" applyFont="1" applyBorder="1" applyAlignment="1">
      <alignment horizontal="left" vertical="center" wrapText="1"/>
    </xf>
    <xf numFmtId="0" fontId="85" fillId="0" borderId="82" xfId="0" applyFont="1" applyBorder="1" applyAlignment="1">
      <alignment horizontal="left" vertical="center" wrapText="1"/>
    </xf>
    <xf numFmtId="0" fontId="85" fillId="0" borderId="83" xfId="0" applyFont="1" applyBorder="1" applyAlignment="1">
      <alignment horizontal="left" vertical="center" wrapText="1"/>
    </xf>
    <xf numFmtId="0" fontId="85" fillId="0" borderId="84" xfId="0" applyFont="1" applyBorder="1" applyAlignment="1">
      <alignment horizontal="left" vertical="center" wrapText="1"/>
    </xf>
    <xf numFmtId="0" fontId="85" fillId="0" borderId="0" xfId="0" applyFont="1" applyAlignment="1">
      <alignment horizontal="left" vertical="center" wrapText="1"/>
    </xf>
    <xf numFmtId="0" fontId="85" fillId="0" borderId="85" xfId="0" applyFont="1" applyBorder="1" applyAlignment="1">
      <alignment horizontal="left" vertical="center" wrapText="1"/>
    </xf>
    <xf numFmtId="0" fontId="126" fillId="0" borderId="0" xfId="0" applyFont="1" applyAlignment="1">
      <alignment vertical="center" wrapText="1"/>
    </xf>
    <xf numFmtId="0" fontId="126" fillId="0" borderId="85" xfId="0" applyFont="1" applyBorder="1" applyAlignment="1">
      <alignment vertical="center" wrapText="1"/>
    </xf>
    <xf numFmtId="0" fontId="126" fillId="0" borderId="0" xfId="0" applyFont="1" applyAlignment="1">
      <alignment horizontal="left" vertical="center" wrapText="1"/>
    </xf>
    <xf numFmtId="0" fontId="126" fillId="0" borderId="85" xfId="0" applyFont="1" applyBorder="1" applyAlignment="1">
      <alignment horizontal="left" vertical="center" wrapText="1"/>
    </xf>
    <xf numFmtId="0" fontId="118" fillId="0" borderId="0" xfId="0" applyFont="1" applyAlignment="1">
      <alignment vertical="center" wrapText="1"/>
    </xf>
    <xf numFmtId="0" fontId="118" fillId="0" borderId="85" xfId="0" applyFont="1" applyBorder="1" applyAlignment="1">
      <alignment vertical="center" wrapText="1"/>
    </xf>
    <xf numFmtId="0" fontId="107" fillId="0" borderId="0" xfId="0" applyFont="1" applyAlignment="1">
      <alignment horizontal="left" vertical="center" wrapText="1"/>
    </xf>
    <xf numFmtId="0" fontId="107" fillId="0" borderId="85" xfId="0" applyFont="1" applyBorder="1" applyAlignment="1">
      <alignment horizontal="left" vertical="center" wrapText="1"/>
    </xf>
    <xf numFmtId="0" fontId="125" fillId="17" borderId="77" xfId="0" applyFont="1" applyFill="1" applyBorder="1" applyAlignment="1">
      <alignment horizontal="left" vertical="center" wrapText="1"/>
    </xf>
    <xf numFmtId="0" fontId="125" fillId="17" borderId="112" xfId="0" applyFont="1" applyFill="1" applyBorder="1" applyAlignment="1">
      <alignment horizontal="left" vertical="center" wrapText="1"/>
    </xf>
    <xf numFmtId="0" fontId="84" fillId="17" borderId="107" xfId="0" applyFont="1" applyFill="1" applyBorder="1" applyAlignment="1">
      <alignment horizontal="center" vertical="center" wrapText="1"/>
    </xf>
    <xf numFmtId="0" fontId="118" fillId="17" borderId="108" xfId="0" applyFont="1" applyFill="1" applyBorder="1" applyAlignment="1">
      <alignment horizontal="center" vertical="center" wrapText="1"/>
    </xf>
    <xf numFmtId="0" fontId="118" fillId="17" borderId="109" xfId="0" applyFont="1" applyFill="1" applyBorder="1" applyAlignment="1">
      <alignment horizontal="center" vertical="center" wrapText="1"/>
    </xf>
    <xf numFmtId="0" fontId="107" fillId="0" borderId="84" xfId="0" applyFont="1" applyBorder="1" applyAlignment="1">
      <alignment vertical="center"/>
    </xf>
    <xf numFmtId="0" fontId="107" fillId="0" borderId="0" xfId="0" applyFont="1" applyAlignment="1">
      <alignment vertical="center"/>
    </xf>
    <xf numFmtId="0" fontId="107" fillId="0" borderId="85" xfId="0" applyFont="1" applyBorder="1" applyAlignment="1">
      <alignment vertical="center"/>
    </xf>
    <xf numFmtId="0" fontId="125" fillId="0" borderId="0" xfId="0" applyFont="1" applyAlignment="1">
      <alignment vertical="center" wrapText="1"/>
    </xf>
    <xf numFmtId="0" fontId="125" fillId="0" borderId="85" xfId="0" applyFont="1" applyBorder="1" applyAlignment="1">
      <alignment vertical="center" wrapText="1"/>
    </xf>
    <xf numFmtId="0" fontId="107" fillId="0" borderId="0" xfId="0" applyFont="1" applyAlignment="1">
      <alignment horizontal="justify" vertical="center" wrapText="1"/>
    </xf>
    <xf numFmtId="0" fontId="107" fillId="0" borderId="85" xfId="0" applyFont="1" applyBorder="1" applyAlignment="1">
      <alignment horizontal="justify" vertical="center" wrapText="1"/>
    </xf>
    <xf numFmtId="0" fontId="125" fillId="17" borderId="108" xfId="0" applyFont="1" applyFill="1" applyBorder="1" applyAlignment="1">
      <alignment horizontal="left" vertical="center" wrapText="1"/>
    </xf>
    <xf numFmtId="0" fontId="125" fillId="17" borderId="109" xfId="0" applyFont="1" applyFill="1" applyBorder="1" applyAlignment="1">
      <alignment horizontal="left" vertical="center" wrapText="1"/>
    </xf>
    <xf numFmtId="0" fontId="85" fillId="0" borderId="86" xfId="0" applyFont="1" applyBorder="1" applyAlignment="1">
      <alignment horizontal="left" vertical="center" wrapText="1"/>
    </xf>
    <xf numFmtId="0" fontId="85" fillId="0" borderId="87" xfId="0" applyFont="1" applyBorder="1" applyAlignment="1">
      <alignment horizontal="left" vertical="center" wrapText="1"/>
    </xf>
    <xf numFmtId="0" fontId="85" fillId="0" borderId="88" xfId="0" applyFont="1" applyBorder="1" applyAlignment="1">
      <alignment horizontal="left" vertical="center" wrapText="1"/>
    </xf>
    <xf numFmtId="0" fontId="84" fillId="17" borderId="108" xfId="0" applyFont="1" applyFill="1" applyBorder="1" applyAlignment="1">
      <alignment horizontal="center" vertical="center"/>
    </xf>
    <xf numFmtId="0" fontId="84" fillId="17" borderId="109" xfId="0" applyFont="1" applyFill="1" applyBorder="1" applyAlignment="1">
      <alignment horizontal="center" vertical="center"/>
    </xf>
    <xf numFmtId="0" fontId="138" fillId="17" borderId="81" xfId="0" applyFont="1" applyFill="1" applyBorder="1" applyAlignment="1">
      <alignment horizontal="center" vertical="center"/>
    </xf>
    <xf numFmtId="0" fontId="138" fillId="17" borderId="82" xfId="0" applyFont="1" applyFill="1" applyBorder="1" applyAlignment="1">
      <alignment horizontal="center" vertical="center"/>
    </xf>
    <xf numFmtId="0" fontId="138" fillId="17" borderId="83" xfId="0" applyFont="1" applyFill="1" applyBorder="1" applyAlignment="1">
      <alignment horizontal="center" vertical="center"/>
    </xf>
    <xf numFmtId="0" fontId="138" fillId="17" borderId="84" xfId="0" applyFont="1" applyFill="1" applyBorder="1" applyAlignment="1">
      <alignment horizontal="center" vertical="center"/>
    </xf>
    <xf numFmtId="0" fontId="138" fillId="17" borderId="0" xfId="0" applyFont="1" applyFill="1" applyAlignment="1">
      <alignment horizontal="center" vertical="center"/>
    </xf>
    <xf numFmtId="0" fontId="138" fillId="17" borderId="85" xfId="0" applyFont="1" applyFill="1" applyBorder="1" applyAlignment="1">
      <alignment horizontal="center" vertical="center"/>
    </xf>
    <xf numFmtId="0" fontId="138" fillId="17" borderId="86" xfId="0" applyFont="1" applyFill="1" applyBorder="1" applyAlignment="1">
      <alignment horizontal="center" vertical="center"/>
    </xf>
    <xf numFmtId="0" fontId="138" fillId="17" borderId="87" xfId="0" applyFont="1" applyFill="1" applyBorder="1" applyAlignment="1">
      <alignment horizontal="center" vertical="center"/>
    </xf>
    <xf numFmtId="0" fontId="138" fillId="17" borderId="88" xfId="0" applyFont="1" applyFill="1" applyBorder="1" applyAlignment="1">
      <alignment horizontal="center" vertical="center"/>
    </xf>
    <xf numFmtId="0" fontId="118" fillId="0" borderId="14" xfId="0" applyFont="1" applyBorder="1" applyAlignment="1">
      <alignment horizontal="center" vertical="center" wrapText="1"/>
    </xf>
    <xf numFmtId="0" fontId="107" fillId="0" borderId="14" xfId="0" applyFont="1" applyBorder="1" applyAlignment="1">
      <alignment horizontal="center" vertical="center" wrapText="1"/>
    </xf>
    <xf numFmtId="0" fontId="107" fillId="0" borderId="0" xfId="0" applyFont="1" applyAlignment="1">
      <alignment horizontal="left"/>
    </xf>
    <xf numFmtId="0" fontId="107" fillId="0" borderId="14" xfId="0" applyFont="1" applyBorder="1" applyAlignment="1">
      <alignment horizontal="center" vertical="center"/>
    </xf>
    <xf numFmtId="0" fontId="118" fillId="0" borderId="14" xfId="0" applyFont="1" applyBorder="1" applyAlignment="1">
      <alignment horizontal="left" vertical="center" wrapText="1"/>
    </xf>
    <xf numFmtId="0" fontId="107" fillId="0" borderId="14" xfId="0" applyFont="1" applyBorder="1" applyAlignment="1">
      <alignment horizontal="left" vertical="center"/>
    </xf>
    <xf numFmtId="0" fontId="107" fillId="0" borderId="14" xfId="0" applyFont="1" applyBorder="1" applyAlignment="1">
      <alignment horizontal="left" vertical="center" wrapText="1"/>
    </xf>
    <xf numFmtId="0" fontId="0" fillId="0" borderId="84" xfId="0" applyBorder="1" applyAlignment="1">
      <alignment horizontal="center" vertical="top" wrapText="1"/>
    </xf>
    <xf numFmtId="0" fontId="0" fillId="0" borderId="0" xfId="0" applyAlignment="1">
      <alignment horizontal="center" vertical="top" wrapText="1"/>
    </xf>
    <xf numFmtId="0" fontId="0" fillId="0" borderId="85" xfId="0" applyBorder="1" applyAlignment="1">
      <alignment horizontal="center" vertical="top" wrapText="1"/>
    </xf>
    <xf numFmtId="0" fontId="138" fillId="17" borderId="107" xfId="0" applyFont="1" applyFill="1" applyBorder="1" applyAlignment="1">
      <alignment horizontal="center" vertical="center" wrapText="1"/>
    </xf>
    <xf numFmtId="0" fontId="138" fillId="17" borderId="108" xfId="0" applyFont="1" applyFill="1" applyBorder="1" applyAlignment="1">
      <alignment horizontal="center" vertical="center"/>
    </xf>
    <xf numFmtId="0" fontId="138" fillId="17" borderId="109" xfId="0" applyFont="1" applyFill="1" applyBorder="1" applyAlignment="1">
      <alignment horizontal="center" vertical="center"/>
    </xf>
    <xf numFmtId="0" fontId="72" fillId="17" borderId="107" xfId="0" applyFont="1" applyFill="1" applyBorder="1" applyAlignment="1">
      <alignment horizontal="center" vertical="center" wrapText="1"/>
    </xf>
    <xf numFmtId="0" fontId="72" fillId="17" borderId="108" xfId="0" applyFont="1" applyFill="1" applyBorder="1" applyAlignment="1">
      <alignment horizontal="center" vertical="center" wrapText="1"/>
    </xf>
    <xf numFmtId="0" fontId="72" fillId="17" borderId="109" xfId="0" applyFont="1" applyFill="1" applyBorder="1" applyAlignment="1">
      <alignment horizontal="center" vertical="center" wrapText="1"/>
    </xf>
    <xf numFmtId="0" fontId="72" fillId="0" borderId="84" xfId="0" applyFont="1" applyBorder="1" applyAlignment="1">
      <alignment horizontal="center" vertical="center"/>
    </xf>
    <xf numFmtId="0" fontId="72" fillId="0" borderId="0" xfId="0" applyFont="1" applyAlignment="1">
      <alignment horizontal="center" vertical="center"/>
    </xf>
    <xf numFmtId="0" fontId="72" fillId="0" borderId="85" xfId="0" applyFont="1" applyBorder="1" applyAlignment="1">
      <alignment horizontal="center" vertical="center"/>
    </xf>
    <xf numFmtId="0" fontId="77" fillId="0" borderId="14" xfId="0" applyFont="1" applyBorder="1" applyAlignment="1">
      <alignment horizontal="left" vertical="center" wrapText="1"/>
    </xf>
    <xf numFmtId="0" fontId="76" fillId="21" borderId="14" xfId="0" applyFont="1" applyFill="1" applyBorder="1" applyAlignment="1">
      <alignment horizontal="left" vertical="center" wrapText="1"/>
    </xf>
    <xf numFmtId="0" fontId="76" fillId="17" borderId="14" xfId="0" applyFont="1" applyFill="1" applyBorder="1" applyAlignment="1">
      <alignment horizontal="left" vertical="center" wrapText="1"/>
    </xf>
    <xf numFmtId="0" fontId="72" fillId="0" borderId="0" xfId="0" applyFont="1" applyAlignment="1">
      <alignment horizontal="center" vertical="center" wrapText="1"/>
    </xf>
    <xf numFmtId="0" fontId="77" fillId="0" borderId="0" xfId="0" applyFont="1" applyAlignment="1">
      <alignment horizontal="left"/>
    </xf>
    <xf numFmtId="0" fontId="77" fillId="0" borderId="0" xfId="0" applyFont="1" applyAlignment="1">
      <alignment horizontal="justify" vertical="center" wrapText="1"/>
    </xf>
    <xf numFmtId="0" fontId="96" fillId="29" borderId="14" xfId="0" applyFont="1" applyFill="1" applyBorder="1" applyAlignment="1">
      <alignment horizontal="left" vertical="center" wrapText="1"/>
    </xf>
    <xf numFmtId="49" fontId="85" fillId="0" borderId="19" xfId="0" applyNumberFormat="1" applyFont="1" applyBorder="1" applyAlignment="1">
      <alignment horizontal="left" vertical="top" wrapText="1"/>
    </xf>
    <xf numFmtId="49" fontId="85" fillId="0" borderId="24" xfId="0" applyNumberFormat="1" applyFont="1" applyBorder="1" applyAlignment="1">
      <alignment horizontal="left" vertical="top" wrapText="1"/>
    </xf>
    <xf numFmtId="49" fontId="85" fillId="0" borderId="21" xfId="0" applyNumberFormat="1" applyFont="1" applyBorder="1" applyAlignment="1">
      <alignment horizontal="left" vertical="top" wrapText="1"/>
    </xf>
    <xf numFmtId="166" fontId="85" fillId="0" borderId="19" xfId="0" applyNumberFormat="1" applyFont="1" applyBorder="1" applyAlignment="1">
      <alignment horizontal="justify" vertical="top" wrapText="1"/>
    </xf>
    <xf numFmtId="166" fontId="85" fillId="0" borderId="21" xfId="0" applyNumberFormat="1" applyFont="1" applyBorder="1" applyAlignment="1">
      <alignment horizontal="justify" vertical="top" wrapText="1"/>
    </xf>
    <xf numFmtId="166" fontId="85" fillId="0" borderId="24" xfId="0" applyNumberFormat="1" applyFont="1" applyBorder="1" applyAlignment="1">
      <alignment horizontal="justify" vertical="top" wrapText="1"/>
    </xf>
    <xf numFmtId="166" fontId="85" fillId="0" borderId="19" xfId="0" applyNumberFormat="1" applyFont="1" applyBorder="1" applyAlignment="1">
      <alignment horizontal="left" vertical="top" wrapText="1"/>
    </xf>
    <xf numFmtId="166" fontId="85" fillId="0" borderId="24" xfId="0" applyNumberFormat="1" applyFont="1" applyBorder="1" applyAlignment="1">
      <alignment horizontal="left" vertical="top" wrapText="1"/>
    </xf>
    <xf numFmtId="166" fontId="85" fillId="0" borderId="21" xfId="0" applyNumberFormat="1" applyFont="1" applyBorder="1" applyAlignment="1">
      <alignment horizontal="left" vertical="top" wrapText="1"/>
    </xf>
    <xf numFmtId="49" fontId="85" fillId="0" borderId="14" xfId="0" applyNumberFormat="1" applyFont="1" applyBorder="1" applyAlignment="1">
      <alignment horizontal="left" vertical="top" wrapText="1"/>
    </xf>
    <xf numFmtId="1" fontId="85" fillId="0" borderId="19" xfId="0" applyNumberFormat="1" applyFont="1" applyBorder="1" applyAlignment="1">
      <alignment horizontal="left" vertical="top" wrapText="1"/>
    </xf>
    <xf numFmtId="1" fontId="85" fillId="0" borderId="24" xfId="0" applyNumberFormat="1" applyFont="1" applyBorder="1" applyAlignment="1">
      <alignment horizontal="left" vertical="top" wrapText="1"/>
    </xf>
    <xf numFmtId="1" fontId="85" fillId="0" borderId="21" xfId="0" applyNumberFormat="1" applyFont="1" applyBorder="1" applyAlignment="1">
      <alignment horizontal="left" vertical="top" wrapText="1"/>
    </xf>
    <xf numFmtId="1" fontId="85" fillId="0" borderId="14" xfId="0" applyNumberFormat="1" applyFont="1" applyBorder="1" applyAlignment="1">
      <alignment horizontal="left" vertical="top" wrapText="1"/>
    </xf>
    <xf numFmtId="0" fontId="84" fillId="28" borderId="15" xfId="0" applyFont="1" applyFill="1" applyBorder="1" applyAlignment="1">
      <alignment horizontal="left" vertical="top"/>
    </xf>
    <xf numFmtId="0" fontId="84" fillId="28" borderId="35" xfId="0" applyFont="1" applyFill="1" applyBorder="1" applyAlignment="1">
      <alignment horizontal="left" vertical="top"/>
    </xf>
    <xf numFmtId="49" fontId="84" fillId="28" borderId="15" xfId="0" applyNumberFormat="1" applyFont="1" applyFill="1" applyBorder="1" applyAlignment="1">
      <alignment horizontal="left" vertical="top" wrapText="1"/>
    </xf>
    <xf numFmtId="49" fontId="84" fillId="28" borderId="35" xfId="0" applyNumberFormat="1" applyFont="1" applyFill="1" applyBorder="1" applyAlignment="1">
      <alignment horizontal="left" vertical="top" wrapText="1"/>
    </xf>
    <xf numFmtId="166" fontId="84" fillId="28" borderId="15" xfId="0" applyNumberFormat="1" applyFont="1" applyFill="1" applyBorder="1" applyAlignment="1">
      <alignment horizontal="left" vertical="top" wrapText="1"/>
    </xf>
    <xf numFmtId="166" fontId="84" fillId="28" borderId="35" xfId="0" applyNumberFormat="1" applyFont="1" applyFill="1" applyBorder="1" applyAlignment="1">
      <alignment horizontal="left" vertical="top" wrapText="1"/>
    </xf>
    <xf numFmtId="166" fontId="84" fillId="0" borderId="19" xfId="0" applyNumberFormat="1" applyFont="1" applyBorder="1" applyAlignment="1">
      <alignment horizontal="left" vertical="top" wrapText="1"/>
    </xf>
    <xf numFmtId="166" fontId="84" fillId="0" borderId="24" xfId="0" applyNumberFormat="1" applyFont="1" applyBorder="1" applyAlignment="1">
      <alignment horizontal="left" vertical="top" wrapText="1"/>
    </xf>
    <xf numFmtId="166" fontId="84" fillId="0" borderId="31" xfId="0" applyNumberFormat="1" applyFont="1" applyBorder="1" applyAlignment="1">
      <alignment horizontal="left" vertical="top" wrapText="1"/>
    </xf>
    <xf numFmtId="166" fontId="84" fillId="0" borderId="37" xfId="0" applyNumberFormat="1" applyFont="1" applyBorder="1" applyAlignment="1">
      <alignment horizontal="left" vertical="top" wrapText="1"/>
    </xf>
    <xf numFmtId="166" fontId="84" fillId="0" borderId="32" xfId="0" applyNumberFormat="1" applyFont="1" applyBorder="1" applyAlignment="1">
      <alignment horizontal="left" vertical="top" wrapText="1"/>
    </xf>
    <xf numFmtId="166" fontId="84" fillId="0" borderId="57" xfId="0" applyNumberFormat="1" applyFont="1" applyBorder="1" applyAlignment="1">
      <alignment horizontal="left" vertical="top" wrapText="1"/>
    </xf>
    <xf numFmtId="166" fontId="84" fillId="0" borderId="33" xfId="0" applyNumberFormat="1" applyFont="1" applyBorder="1" applyAlignment="1">
      <alignment horizontal="left" vertical="top" wrapText="1"/>
    </xf>
    <xf numFmtId="166" fontId="84" fillId="0" borderId="21" xfId="0" applyNumberFormat="1" applyFont="1" applyBorder="1" applyAlignment="1">
      <alignment horizontal="left" vertical="top" wrapText="1"/>
    </xf>
    <xf numFmtId="0" fontId="85" fillId="0" borderId="19" xfId="0" applyFont="1" applyBorder="1" applyAlignment="1">
      <alignment horizontal="left" vertical="top"/>
    </xf>
    <xf numFmtId="0" fontId="85" fillId="0" borderId="24" xfId="0" applyFont="1" applyBorder="1" applyAlignment="1">
      <alignment horizontal="left" vertical="top"/>
    </xf>
    <xf numFmtId="0" fontId="84" fillId="0" borderId="19" xfId="0" applyFont="1" applyBorder="1" applyAlignment="1">
      <alignment horizontal="left" vertical="top" wrapText="1"/>
    </xf>
    <xf numFmtId="0" fontId="84" fillId="0" borderId="24" xfId="0" applyFont="1" applyBorder="1" applyAlignment="1">
      <alignment horizontal="left" vertical="top" wrapText="1"/>
    </xf>
    <xf numFmtId="0" fontId="85" fillId="0" borderId="96" xfId="0" applyFont="1" applyBorder="1" applyAlignment="1">
      <alignment horizontal="left" vertical="top" textRotation="90" wrapText="1"/>
    </xf>
    <xf numFmtId="0" fontId="85" fillId="0" borderId="98" xfId="0" applyFont="1" applyBorder="1" applyAlignment="1">
      <alignment horizontal="left" vertical="top" textRotation="90" wrapText="1"/>
    </xf>
    <xf numFmtId="0" fontId="85" fillId="0" borderId="21" xfId="0" applyFont="1" applyBorder="1" applyAlignment="1">
      <alignment horizontal="left" vertical="top"/>
    </xf>
    <xf numFmtId="0" fontId="84" fillId="0" borderId="21" xfId="0" applyFont="1" applyBorder="1" applyAlignment="1">
      <alignment horizontal="left" vertical="top" wrapText="1"/>
    </xf>
    <xf numFmtId="0" fontId="85" fillId="0" borderId="19" xfId="0" applyFont="1" applyBorder="1" applyAlignment="1">
      <alignment horizontal="left" vertical="top" textRotation="90" wrapText="1"/>
    </xf>
    <xf numFmtId="0" fontId="85" fillId="0" borderId="49" xfId="0" applyFont="1" applyBorder="1" applyAlignment="1">
      <alignment horizontal="left" vertical="top" textRotation="90" wrapText="1"/>
    </xf>
    <xf numFmtId="0" fontId="85" fillId="0" borderId="95" xfId="0" applyFont="1" applyBorder="1" applyAlignment="1">
      <alignment horizontal="left" vertical="top" textRotation="90" wrapText="1"/>
    </xf>
    <xf numFmtId="166" fontId="101" fillId="28" borderId="15" xfId="0" applyNumberFormat="1" applyFont="1" applyFill="1" applyBorder="1" applyAlignment="1">
      <alignment horizontal="left" vertical="top" wrapText="1"/>
    </xf>
    <xf numFmtId="166" fontId="101" fillId="28" borderId="35" xfId="0" applyNumberFormat="1" applyFont="1" applyFill="1" applyBorder="1" applyAlignment="1">
      <alignment horizontal="left" vertical="top" wrapText="1"/>
    </xf>
    <xf numFmtId="0" fontId="85" fillId="0" borderId="66" xfId="0" applyFont="1" applyBorder="1" applyAlignment="1">
      <alignment horizontal="left" vertical="top" textRotation="90" wrapText="1"/>
    </xf>
    <xf numFmtId="0" fontId="85" fillId="0" borderId="97" xfId="0" applyFont="1" applyBorder="1" applyAlignment="1">
      <alignment horizontal="left" vertical="top" textRotation="90" wrapText="1"/>
    </xf>
    <xf numFmtId="0" fontId="103" fillId="0" borderId="14" xfId="0" applyFont="1" applyBorder="1" applyAlignment="1">
      <alignment horizontal="center" vertical="center" wrapText="1"/>
    </xf>
    <xf numFmtId="0" fontId="84" fillId="0" borderId="19" xfId="0" applyFont="1" applyBorder="1" applyAlignment="1">
      <alignment horizontal="center" vertical="center" wrapText="1"/>
    </xf>
    <xf numFmtId="0" fontId="84" fillId="0" borderId="21" xfId="0" applyFont="1" applyBorder="1" applyAlignment="1">
      <alignment horizontal="center" vertical="center" wrapText="1"/>
    </xf>
    <xf numFmtId="0" fontId="84" fillId="0" borderId="31" xfId="0" applyFont="1" applyBorder="1" applyAlignment="1">
      <alignment horizontal="center" vertical="center" wrapText="1"/>
    </xf>
    <xf numFmtId="0" fontId="84" fillId="0" borderId="32" xfId="0" applyFont="1" applyBorder="1" applyAlignment="1">
      <alignment horizontal="center" vertical="center" wrapText="1"/>
    </xf>
    <xf numFmtId="166" fontId="85" fillId="0" borderId="14" xfId="0" applyNumberFormat="1" applyFont="1" applyBorder="1" applyAlignment="1">
      <alignment horizontal="left" vertical="top" wrapText="1"/>
    </xf>
    <xf numFmtId="166" fontId="85" fillId="0" borderId="32" xfId="0" applyNumberFormat="1" applyFont="1" applyBorder="1" applyAlignment="1">
      <alignment horizontal="justify" vertical="top" wrapText="1"/>
    </xf>
    <xf numFmtId="166" fontId="85" fillId="0" borderId="33" xfId="0" applyNumberFormat="1" applyFont="1" applyBorder="1" applyAlignment="1">
      <alignment horizontal="justify" vertical="top" wrapText="1"/>
    </xf>
    <xf numFmtId="0" fontId="84" fillId="28" borderId="14" xfId="0" applyFont="1" applyFill="1" applyBorder="1" applyAlignment="1">
      <alignment horizontal="justify" vertical="top" wrapText="1"/>
    </xf>
    <xf numFmtId="0" fontId="84" fillId="0" borderId="14" xfId="0" applyFont="1" applyBorder="1" applyAlignment="1">
      <alignment vertical="center" wrapText="1"/>
    </xf>
    <xf numFmtId="0" fontId="84" fillId="4" borderId="14" xfId="0" applyFont="1" applyFill="1" applyBorder="1" applyAlignment="1">
      <alignment vertical="center" wrapText="1"/>
    </xf>
    <xf numFmtId="0" fontId="84" fillId="0" borderId="14" xfId="0" applyFont="1" applyBorder="1" applyAlignment="1">
      <alignment horizontal="left" vertical="top" wrapText="1"/>
    </xf>
    <xf numFmtId="0" fontId="85" fillId="0" borderId="14" xfId="0" applyFont="1" applyBorder="1" applyAlignment="1">
      <alignment horizontal="left" vertical="top" wrapText="1"/>
    </xf>
    <xf numFmtId="0" fontId="84" fillId="22" borderId="14" xfId="0" applyFont="1" applyFill="1" applyBorder="1" applyAlignment="1">
      <alignment horizontal="left" vertical="top" wrapText="1"/>
    </xf>
    <xf numFmtId="49" fontId="84" fillId="4" borderId="24" xfId="0" applyNumberFormat="1" applyFont="1" applyFill="1" applyBorder="1" applyAlignment="1">
      <alignment horizontal="left" vertical="top" wrapText="1"/>
    </xf>
    <xf numFmtId="49" fontId="84" fillId="4" borderId="21" xfId="0" applyNumberFormat="1" applyFont="1" applyFill="1" applyBorder="1" applyAlignment="1">
      <alignment horizontal="left" vertical="top" wrapText="1"/>
    </xf>
    <xf numFmtId="0" fontId="85" fillId="0" borderId="14" xfId="0" applyFont="1" applyBorder="1" applyAlignment="1">
      <alignment horizontal="left" vertical="top" textRotation="90" wrapText="1"/>
    </xf>
    <xf numFmtId="0" fontId="85" fillId="17" borderId="14" xfId="0" applyFont="1" applyFill="1" applyBorder="1" applyAlignment="1">
      <alignment horizontal="left" vertical="top"/>
    </xf>
    <xf numFmtId="166" fontId="84" fillId="0" borderId="14" xfId="0" applyNumberFormat="1" applyFont="1" applyBorder="1" applyAlignment="1">
      <alignment horizontal="left" vertical="top"/>
    </xf>
    <xf numFmtId="166" fontId="85" fillId="0" borderId="14" xfId="0" applyNumberFormat="1" applyFont="1" applyBorder="1" applyAlignment="1">
      <alignment horizontal="justify" vertical="top" wrapText="1"/>
    </xf>
    <xf numFmtId="166" fontId="85" fillId="0" borderId="14" xfId="0" applyNumberFormat="1" applyFont="1" applyBorder="1" applyAlignment="1">
      <alignment horizontal="justify" vertical="top"/>
    </xf>
    <xf numFmtId="166" fontId="84" fillId="0" borderId="19" xfId="0" applyNumberFormat="1" applyFont="1" applyBorder="1" applyAlignment="1">
      <alignment horizontal="left" vertical="top"/>
    </xf>
    <xf numFmtId="166" fontId="84" fillId="0" borderId="21" xfId="0" applyNumberFormat="1" applyFont="1" applyBorder="1" applyAlignment="1">
      <alignment horizontal="left" vertical="top"/>
    </xf>
    <xf numFmtId="1" fontId="85" fillId="0" borderId="19" xfId="0" applyNumberFormat="1" applyFont="1" applyBorder="1" applyAlignment="1">
      <alignment horizontal="left" vertical="top"/>
    </xf>
    <xf numFmtId="1" fontId="85" fillId="0" borderId="21" xfId="0" applyNumberFormat="1" applyFont="1" applyBorder="1" applyAlignment="1">
      <alignment horizontal="left" vertical="top"/>
    </xf>
    <xf numFmtId="49" fontId="84" fillId="4" borderId="19" xfId="0" applyNumberFormat="1" applyFont="1" applyFill="1" applyBorder="1" applyAlignment="1">
      <alignment horizontal="left" vertical="top" wrapText="1"/>
    </xf>
    <xf numFmtId="0" fontId="85" fillId="4" borderId="19" xfId="0" applyFont="1" applyFill="1" applyBorder="1" applyAlignment="1">
      <alignment horizontal="left" vertical="top" textRotation="90" wrapText="1"/>
    </xf>
    <xf numFmtId="0" fontId="85" fillId="4" borderId="21" xfId="0" applyFont="1" applyFill="1" applyBorder="1" applyAlignment="1">
      <alignment horizontal="left" vertical="top" textRotation="90" wrapText="1"/>
    </xf>
    <xf numFmtId="166" fontId="85" fillId="0" borderId="21" xfId="0" applyNumberFormat="1" applyFont="1" applyBorder="1" applyAlignment="1">
      <alignment horizontal="justify" vertical="top"/>
    </xf>
    <xf numFmtId="166" fontId="85" fillId="0" borderId="24" xfId="0" applyNumberFormat="1" applyFont="1" applyBorder="1" applyAlignment="1">
      <alignment horizontal="justify" vertical="top"/>
    </xf>
    <xf numFmtId="0" fontId="85" fillId="0" borderId="24" xfId="0" applyFont="1" applyBorder="1" applyAlignment="1">
      <alignment horizontal="left" vertical="top" textRotation="90" wrapText="1"/>
    </xf>
    <xf numFmtId="0" fontId="85" fillId="0" borderId="21" xfId="0" applyFont="1" applyBorder="1" applyAlignment="1">
      <alignment horizontal="left" vertical="top" textRotation="90" wrapText="1"/>
    </xf>
    <xf numFmtId="1" fontId="85" fillId="0" borderId="24" xfId="0" applyNumberFormat="1" applyFont="1" applyBorder="1" applyAlignment="1">
      <alignment horizontal="left" vertical="top"/>
    </xf>
    <xf numFmtId="166" fontId="84" fillId="0" borderId="65" xfId="0" applyNumberFormat="1" applyFont="1" applyBorder="1" applyAlignment="1">
      <alignment horizontal="left" vertical="top" wrapText="1"/>
    </xf>
    <xf numFmtId="166" fontId="101" fillId="0" borderId="21" xfId="0" applyNumberFormat="1" applyFont="1" applyBorder="1" applyAlignment="1">
      <alignment horizontal="justify" vertical="top" wrapText="1"/>
    </xf>
    <xf numFmtId="0" fontId="84" fillId="4" borderId="19" xfId="0" applyFont="1" applyFill="1" applyBorder="1" applyAlignment="1">
      <alignment horizontal="left" vertical="top" wrapText="1"/>
    </xf>
    <xf numFmtId="0" fontId="84" fillId="4" borderId="21" xfId="0" applyFont="1" applyFill="1" applyBorder="1" applyAlignment="1">
      <alignment horizontal="left" vertical="top" wrapText="1"/>
    </xf>
    <xf numFmtId="167" fontId="85" fillId="0" borderId="19" xfId="0" applyNumberFormat="1" applyFont="1" applyBorder="1" applyAlignment="1">
      <alignment horizontal="left" vertical="top" wrapText="1"/>
    </xf>
    <xf numFmtId="167" fontId="85" fillId="0" borderId="21" xfId="0" applyNumberFormat="1" applyFont="1" applyBorder="1" applyAlignment="1">
      <alignment horizontal="left" vertical="top" wrapText="1"/>
    </xf>
    <xf numFmtId="0" fontId="85" fillId="0" borderId="91" xfId="0" applyFont="1" applyBorder="1" applyAlignment="1">
      <alignment horizontal="left" vertical="top"/>
    </xf>
    <xf numFmtId="0" fontId="85" fillId="0" borderId="90" xfId="0" applyFont="1" applyBorder="1" applyAlignment="1">
      <alignment horizontal="left" vertical="top"/>
    </xf>
    <xf numFmtId="0" fontId="85" fillId="4" borderId="96" xfId="0" applyFont="1" applyFill="1" applyBorder="1" applyAlignment="1">
      <alignment horizontal="left" vertical="top" textRotation="90" wrapText="1"/>
    </xf>
    <xf numFmtId="0" fontId="85" fillId="4" borderId="97" xfId="0" applyFont="1" applyFill="1" applyBorder="1" applyAlignment="1">
      <alignment horizontal="left" vertical="top" textRotation="90" wrapText="1"/>
    </xf>
    <xf numFmtId="0" fontId="85" fillId="4" borderId="95" xfId="0" applyFont="1" applyFill="1" applyBorder="1" applyAlignment="1">
      <alignment horizontal="left" vertical="top" textRotation="90" wrapText="1"/>
    </xf>
    <xf numFmtId="0" fontId="84" fillId="0" borderId="19" xfId="0" applyFont="1" applyBorder="1" applyAlignment="1">
      <alignment vertical="center" wrapText="1"/>
    </xf>
    <xf numFmtId="0" fontId="84" fillId="0" borderId="21" xfId="0" applyFont="1" applyBorder="1" applyAlignment="1">
      <alignment vertical="center" wrapText="1"/>
    </xf>
    <xf numFmtId="0" fontId="84" fillId="0" borderId="0" xfId="0" applyFont="1" applyAlignment="1">
      <alignment vertical="center"/>
    </xf>
    <xf numFmtId="0" fontId="85" fillId="0" borderId="54" xfId="0" applyFont="1" applyBorder="1" applyAlignment="1">
      <alignment horizontal="left" vertical="top"/>
    </xf>
    <xf numFmtId="0" fontId="85" fillId="0" borderId="99" xfId="0" applyFont="1" applyBorder="1" applyAlignment="1">
      <alignment horizontal="left" vertical="top"/>
    </xf>
    <xf numFmtId="0" fontId="116" fillId="30" borderId="7" xfId="0" applyFont="1" applyFill="1" applyBorder="1" applyAlignment="1">
      <alignment horizontal="left" vertical="top" wrapText="1"/>
    </xf>
    <xf numFmtId="0" fontId="116" fillId="30" borderId="18" xfId="0" applyFont="1" applyFill="1" applyBorder="1" applyAlignment="1">
      <alignment horizontal="left" vertical="top" wrapText="1"/>
    </xf>
    <xf numFmtId="0" fontId="116" fillId="30" borderId="94" xfId="0" applyFont="1" applyFill="1" applyBorder="1" applyAlignment="1">
      <alignment horizontal="left" vertical="top" wrapText="1"/>
    </xf>
    <xf numFmtId="0" fontId="116" fillId="30" borderId="7" xfId="0" applyFont="1" applyFill="1" applyBorder="1" applyAlignment="1">
      <alignment horizontal="left" vertical="top" textRotation="90" wrapText="1"/>
    </xf>
    <xf numFmtId="0" fontId="116" fillId="30" borderId="18" xfId="0" applyFont="1" applyFill="1" applyBorder="1" applyAlignment="1">
      <alignment horizontal="left" vertical="top" textRotation="90" wrapText="1"/>
    </xf>
    <xf numFmtId="0" fontId="116" fillId="30" borderId="9" xfId="0" applyFont="1" applyFill="1" applyBorder="1" applyAlignment="1">
      <alignment horizontal="left" vertical="top" textRotation="90" wrapText="1"/>
    </xf>
    <xf numFmtId="0" fontId="85" fillId="0" borderId="14" xfId="0" applyFont="1" applyBorder="1" applyAlignment="1">
      <alignment horizontal="left" vertical="top"/>
    </xf>
    <xf numFmtId="49" fontId="84" fillId="0" borderId="14" xfId="0" applyNumberFormat="1" applyFont="1" applyBorder="1" applyAlignment="1">
      <alignment horizontal="left" vertical="top" wrapText="1"/>
    </xf>
    <xf numFmtId="49" fontId="85" fillId="0" borderId="14" xfId="0" applyNumberFormat="1" applyFont="1" applyBorder="1" applyAlignment="1">
      <alignment horizontal="left" vertical="top" textRotation="90"/>
    </xf>
    <xf numFmtId="166" fontId="84" fillId="0" borderId="14" xfId="0" applyNumberFormat="1" applyFont="1" applyBorder="1" applyAlignment="1">
      <alignment horizontal="left" vertical="top" wrapText="1"/>
    </xf>
    <xf numFmtId="0" fontId="85" fillId="0" borderId="0" xfId="0" applyFont="1" applyAlignment="1">
      <alignment horizontal="left" vertical="center"/>
    </xf>
    <xf numFmtId="0" fontId="85" fillId="0" borderId="0" xfId="0" applyFont="1" applyAlignment="1">
      <alignment horizontal="justify" vertical="center" wrapText="1"/>
    </xf>
    <xf numFmtId="0" fontId="85" fillId="0" borderId="0" xfId="0" applyFont="1" applyAlignment="1">
      <alignment horizontal="justify" vertical="center"/>
    </xf>
    <xf numFmtId="0" fontId="84" fillId="0" borderId="19" xfId="0" applyFont="1" applyBorder="1" applyAlignment="1">
      <alignment horizontal="center" vertical="center" textRotation="90" wrapText="1"/>
    </xf>
    <xf numFmtId="0" fontId="84" fillId="0" borderId="21" xfId="0" applyFont="1" applyBorder="1" applyAlignment="1">
      <alignment horizontal="center" vertical="center" textRotation="90" wrapText="1"/>
    </xf>
    <xf numFmtId="0" fontId="85" fillId="29" borderId="19" xfId="0" applyFont="1" applyFill="1" applyBorder="1" applyAlignment="1">
      <alignment horizontal="left" vertical="top" wrapText="1"/>
    </xf>
    <xf numFmtId="0" fontId="85" fillId="29" borderId="21" xfId="0" applyFont="1" applyFill="1" applyBorder="1" applyAlignment="1">
      <alignment horizontal="left" vertical="top" wrapText="1"/>
    </xf>
    <xf numFmtId="0" fontId="85" fillId="29" borderId="96" xfId="0" applyFont="1" applyFill="1" applyBorder="1" applyAlignment="1">
      <alignment horizontal="left" vertical="top" textRotation="90" wrapText="1"/>
    </xf>
    <xf numFmtId="0" fontId="85" fillId="29" borderId="95" xfId="0" applyFont="1" applyFill="1" applyBorder="1" applyAlignment="1">
      <alignment horizontal="left" vertical="top" textRotation="90" wrapText="1"/>
    </xf>
    <xf numFmtId="166" fontId="85" fillId="0" borderId="24" xfId="0" applyNumberFormat="1" applyFont="1" applyBorder="1" applyAlignment="1">
      <alignment horizontal="left" vertical="top"/>
    </xf>
    <xf numFmtId="166" fontId="85" fillId="0" borderId="21" xfId="0" applyNumberFormat="1" applyFont="1" applyBorder="1" applyAlignment="1">
      <alignment horizontal="left" vertical="top"/>
    </xf>
    <xf numFmtId="166" fontId="85" fillId="28" borderId="14" xfId="0" applyNumberFormat="1" applyFont="1" applyFill="1" applyBorder="1" applyAlignment="1">
      <alignment horizontal="left" vertical="top" wrapText="1"/>
    </xf>
    <xf numFmtId="166" fontId="85" fillId="28" borderId="15" xfId="0" applyNumberFormat="1" applyFont="1" applyFill="1" applyBorder="1" applyAlignment="1">
      <alignment horizontal="left" vertical="top" wrapText="1"/>
    </xf>
    <xf numFmtId="166" fontId="85" fillId="28" borderId="35" xfId="0" applyNumberFormat="1" applyFont="1" applyFill="1" applyBorder="1" applyAlignment="1">
      <alignment horizontal="left" vertical="top" wrapText="1"/>
    </xf>
    <xf numFmtId="49" fontId="85" fillId="35" borderId="14" xfId="0" applyNumberFormat="1" applyFont="1" applyFill="1" applyBorder="1" applyAlignment="1">
      <alignment horizontal="left" vertical="top" wrapText="1"/>
    </xf>
    <xf numFmtId="0" fontId="84" fillId="28" borderId="35" xfId="0" applyFont="1" applyFill="1" applyBorder="1" applyAlignment="1">
      <alignment horizontal="left" vertical="top" wrapText="1"/>
    </xf>
    <xf numFmtId="0" fontId="84" fillId="28" borderId="17" xfId="0" applyFont="1" applyFill="1" applyBorder="1" applyAlignment="1">
      <alignment horizontal="left" vertical="top" wrapText="1"/>
    </xf>
    <xf numFmtId="0" fontId="84" fillId="28" borderId="17" xfId="0" applyFont="1" applyFill="1" applyBorder="1" applyAlignment="1">
      <alignment horizontal="left" vertical="top"/>
    </xf>
    <xf numFmtId="0" fontId="84" fillId="4" borderId="14" xfId="0" applyFont="1" applyFill="1" applyBorder="1" applyAlignment="1">
      <alignment horizontal="left" vertical="top" wrapText="1"/>
    </xf>
    <xf numFmtId="49" fontId="116" fillId="29" borderId="14" xfId="0" applyNumberFormat="1" applyFont="1" applyFill="1" applyBorder="1" applyAlignment="1">
      <alignment horizontal="left" vertical="top" textRotation="90" wrapText="1"/>
    </xf>
    <xf numFmtId="166" fontId="85" fillId="29" borderId="14" xfId="0" applyNumberFormat="1" applyFont="1" applyFill="1" applyBorder="1" applyAlignment="1">
      <alignment horizontal="justify" vertical="top" wrapText="1"/>
    </xf>
    <xf numFmtId="166" fontId="85" fillId="29" borderId="14" xfId="0" applyNumberFormat="1" applyFont="1" applyFill="1" applyBorder="1" applyAlignment="1">
      <alignment horizontal="justify" vertical="top"/>
    </xf>
    <xf numFmtId="0" fontId="85" fillId="29" borderId="14" xfId="0" applyFont="1" applyFill="1" applyBorder="1" applyAlignment="1">
      <alignment horizontal="left" vertical="top"/>
    </xf>
    <xf numFmtId="0" fontId="84" fillId="0" borderId="19" xfId="0" applyFont="1" applyBorder="1" applyAlignment="1">
      <alignment horizontal="left" vertical="top"/>
    </xf>
    <xf numFmtId="0" fontId="84" fillId="0" borderId="24" xfId="0" applyFont="1" applyBorder="1" applyAlignment="1">
      <alignment horizontal="left" vertical="top"/>
    </xf>
    <xf numFmtId="0" fontId="84" fillId="0" borderId="14" xfId="0" applyFont="1" applyBorder="1" applyAlignment="1">
      <alignment horizontal="left" vertical="top"/>
    </xf>
    <xf numFmtId="49" fontId="85" fillId="0" borderId="7" xfId="0" applyNumberFormat="1" applyFont="1" applyBorder="1" applyAlignment="1">
      <alignment horizontal="left" vertical="top"/>
    </xf>
    <xf numFmtId="49" fontId="85" fillId="0" borderId="18" xfId="0" applyNumberFormat="1" applyFont="1" applyBorder="1" applyAlignment="1">
      <alignment horizontal="left" vertical="top"/>
    </xf>
    <xf numFmtId="49" fontId="85" fillId="0" borderId="9" xfId="0" applyNumberFormat="1" applyFont="1" applyBorder="1" applyAlignment="1">
      <alignment horizontal="left" vertical="top"/>
    </xf>
    <xf numFmtId="49" fontId="84" fillId="0" borderId="24" xfId="0" applyNumberFormat="1" applyFont="1" applyBorder="1" applyAlignment="1">
      <alignment horizontal="left" vertical="top" wrapText="1"/>
    </xf>
    <xf numFmtId="49" fontId="84" fillId="0" borderId="21" xfId="0" applyNumberFormat="1" applyFont="1" applyBorder="1" applyAlignment="1">
      <alignment horizontal="left" vertical="top" wrapText="1"/>
    </xf>
    <xf numFmtId="0" fontId="116" fillId="29" borderId="89" xfId="0" applyFont="1" applyFill="1" applyBorder="1" applyAlignment="1">
      <alignment horizontal="left" vertical="top" wrapText="1"/>
    </xf>
    <xf numFmtId="0" fontId="116" fillId="29" borderId="92" xfId="0" applyFont="1" applyFill="1" applyBorder="1" applyAlignment="1">
      <alignment horizontal="left" vertical="top" wrapText="1"/>
    </xf>
    <xf numFmtId="0" fontId="116" fillId="29" borderId="90" xfId="0" applyFont="1" applyFill="1" applyBorder="1" applyAlignment="1">
      <alignment horizontal="left" vertical="top" wrapText="1"/>
    </xf>
    <xf numFmtId="0" fontId="116" fillId="29" borderId="91" xfId="0" applyFont="1" applyFill="1" applyBorder="1" applyAlignment="1">
      <alignment horizontal="left" vertical="top" wrapText="1"/>
    </xf>
    <xf numFmtId="49" fontId="85" fillId="0" borderId="24" xfId="0" applyNumberFormat="1" applyFont="1" applyBorder="1" applyAlignment="1">
      <alignment horizontal="left" vertical="top" textRotation="90" wrapText="1"/>
    </xf>
    <xf numFmtId="49" fontId="85" fillId="0" borderId="21" xfId="0" applyNumberFormat="1" applyFont="1" applyBorder="1" applyAlignment="1">
      <alignment horizontal="left" vertical="top" textRotation="90" wrapText="1"/>
    </xf>
    <xf numFmtId="0" fontId="116" fillId="29" borderId="7" xfId="0" applyFont="1" applyFill="1" applyBorder="1" applyAlignment="1">
      <alignment horizontal="left" vertical="top"/>
    </xf>
    <xf numFmtId="0" fontId="116" fillId="29" borderId="18" xfId="0" applyFont="1" applyFill="1" applyBorder="1" applyAlignment="1">
      <alignment horizontal="left" vertical="top"/>
    </xf>
    <xf numFmtId="0" fontId="116" fillId="29" borderId="9" xfId="0" applyFont="1" applyFill="1" applyBorder="1" applyAlignment="1">
      <alignment horizontal="left" vertical="top"/>
    </xf>
    <xf numFmtId="0" fontId="116" fillId="29" borderId="14" xfId="0" applyFont="1" applyFill="1" applyBorder="1" applyAlignment="1">
      <alignment horizontal="left" vertical="top" wrapText="1"/>
    </xf>
    <xf numFmtId="0" fontId="85" fillId="29" borderId="7" xfId="0" applyFont="1" applyFill="1" applyBorder="1" applyAlignment="1">
      <alignment horizontal="left" vertical="top"/>
    </xf>
    <xf numFmtId="0" fontId="85" fillId="29" borderId="18" xfId="0" applyFont="1" applyFill="1" applyBorder="1" applyAlignment="1">
      <alignment horizontal="left" vertical="top"/>
    </xf>
    <xf numFmtId="0" fontId="85" fillId="29" borderId="9" xfId="0" applyFont="1" applyFill="1" applyBorder="1" applyAlignment="1">
      <alignment horizontal="left" vertical="top"/>
    </xf>
    <xf numFmtId="0" fontId="116" fillId="29" borderId="100" xfId="0" applyFont="1" applyFill="1" applyBorder="1" applyAlignment="1">
      <alignment horizontal="left" vertical="top" wrapText="1"/>
    </xf>
    <xf numFmtId="0" fontId="84" fillId="0" borderId="19" xfId="0" applyFont="1" applyBorder="1" applyAlignment="1">
      <alignment horizontal="left" vertical="center" wrapText="1"/>
    </xf>
    <xf numFmtId="0" fontId="84" fillId="0" borderId="21" xfId="0" applyFont="1" applyBorder="1" applyAlignment="1">
      <alignment horizontal="left" vertical="center" wrapText="1"/>
    </xf>
    <xf numFmtId="166" fontId="84" fillId="21" borderId="14" xfId="0" applyNumberFormat="1" applyFont="1" applyFill="1" applyBorder="1" applyAlignment="1">
      <alignment horizontal="left" vertical="top"/>
    </xf>
    <xf numFmtId="0" fontId="85" fillId="35" borderId="14" xfId="0" applyFont="1" applyFill="1" applyBorder="1" applyAlignment="1">
      <alignment horizontal="left" vertical="top"/>
    </xf>
    <xf numFmtId="0" fontId="84" fillId="0" borderId="21" xfId="0" applyFont="1" applyBorder="1" applyAlignment="1">
      <alignment horizontal="left" vertical="top"/>
    </xf>
    <xf numFmtId="0" fontId="116" fillId="29" borderId="7" xfId="0" applyFont="1" applyFill="1" applyBorder="1" applyAlignment="1">
      <alignment horizontal="left" vertical="top" wrapText="1"/>
    </xf>
    <xf numFmtId="0" fontId="116" fillId="29" borderId="9" xfId="0" applyFont="1" applyFill="1" applyBorder="1" applyAlignment="1">
      <alignment horizontal="left" vertical="top" wrapText="1"/>
    </xf>
    <xf numFmtId="0" fontId="84" fillId="0" borderId="6" xfId="0" applyFont="1" applyBorder="1" applyAlignment="1">
      <alignment horizontal="left" vertical="top" wrapText="1"/>
    </xf>
    <xf numFmtId="0" fontId="85" fillId="35" borderId="6" xfId="0" applyFont="1" applyFill="1" applyBorder="1" applyAlignment="1">
      <alignment horizontal="left" vertical="top" textRotation="90" wrapText="1"/>
    </xf>
    <xf numFmtId="166" fontId="84" fillId="29" borderId="14" xfId="0" applyNumberFormat="1" applyFont="1" applyFill="1" applyBorder="1" applyAlignment="1">
      <alignment horizontal="justify" vertical="top"/>
    </xf>
    <xf numFmtId="9" fontId="84" fillId="21" borderId="14" xfId="22" applyFont="1" applyFill="1" applyBorder="1" applyAlignment="1">
      <alignment horizontal="left" vertical="top" wrapText="1"/>
    </xf>
    <xf numFmtId="166" fontId="85" fillId="35" borderId="14" xfId="0" applyNumberFormat="1" applyFont="1" applyFill="1" applyBorder="1" applyAlignment="1">
      <alignment horizontal="justify" vertical="top" wrapText="1"/>
    </xf>
    <xf numFmtId="166" fontId="85" fillId="35" borderId="14" xfId="0" applyNumberFormat="1" applyFont="1" applyFill="1" applyBorder="1" applyAlignment="1">
      <alignment horizontal="justify" vertical="top"/>
    </xf>
    <xf numFmtId="166" fontId="85" fillId="0" borderId="17" xfId="0" applyNumberFormat="1" applyFont="1" applyBorder="1" applyAlignment="1">
      <alignment horizontal="justify" vertical="top" wrapText="1"/>
    </xf>
    <xf numFmtId="166" fontId="85" fillId="0" borderId="17" xfId="0" applyNumberFormat="1" applyFont="1" applyBorder="1" applyAlignment="1">
      <alignment horizontal="justify" vertical="top"/>
    </xf>
    <xf numFmtId="166" fontId="85" fillId="0" borderId="32" xfId="0" applyNumberFormat="1" applyFont="1" applyBorder="1" applyAlignment="1">
      <alignment horizontal="justify" vertical="top"/>
    </xf>
    <xf numFmtId="166" fontId="85" fillId="28" borderId="15" xfId="0" applyNumberFormat="1" applyFont="1" applyFill="1" applyBorder="1" applyAlignment="1">
      <alignment horizontal="left" vertical="top"/>
    </xf>
    <xf numFmtId="166" fontId="85" fillId="28" borderId="35" xfId="0" applyNumberFormat="1" applyFont="1" applyFill="1" applyBorder="1" applyAlignment="1">
      <alignment horizontal="left" vertical="top"/>
    </xf>
    <xf numFmtId="166" fontId="85" fillId="28" borderId="17" xfId="0" applyNumberFormat="1" applyFont="1" applyFill="1" applyBorder="1" applyAlignment="1">
      <alignment horizontal="left" vertical="top"/>
    </xf>
    <xf numFmtId="49" fontId="85" fillId="0" borderId="6" xfId="0" applyNumberFormat="1" applyFont="1" applyBorder="1" applyAlignment="1">
      <alignment horizontal="left" vertical="top"/>
    </xf>
    <xf numFmtId="49" fontId="85" fillId="0" borderId="16" xfId="0" applyNumberFormat="1" applyFont="1" applyBorder="1" applyAlignment="1">
      <alignment horizontal="left" vertical="top"/>
    </xf>
    <xf numFmtId="49" fontId="85" fillId="0" borderId="8" xfId="0" applyNumberFormat="1" applyFont="1" applyBorder="1" applyAlignment="1">
      <alignment horizontal="left" vertical="top"/>
    </xf>
    <xf numFmtId="49" fontId="113" fillId="0" borderId="19" xfId="0" applyNumberFormat="1" applyFont="1" applyBorder="1" applyAlignment="1">
      <alignment horizontal="left" vertical="top" wrapText="1"/>
    </xf>
    <xf numFmtId="49" fontId="113" fillId="0" borderId="24" xfId="0" applyNumberFormat="1" applyFont="1" applyBorder="1" applyAlignment="1">
      <alignment horizontal="left" vertical="top" wrapText="1"/>
    </xf>
    <xf numFmtId="49" fontId="113" fillId="0" borderId="21" xfId="0" applyNumberFormat="1" applyFont="1" applyBorder="1" applyAlignment="1">
      <alignment horizontal="left" vertical="top" wrapText="1"/>
    </xf>
    <xf numFmtId="9" fontId="84" fillId="21" borderId="14" xfId="22" applyFont="1" applyFill="1" applyBorder="1" applyAlignment="1">
      <alignment horizontal="left" vertical="top"/>
    </xf>
    <xf numFmtId="49" fontId="116" fillId="29" borderId="19" xfId="0" applyNumberFormat="1" applyFont="1" applyFill="1" applyBorder="1" applyAlignment="1">
      <alignment horizontal="left" vertical="top"/>
    </xf>
    <xf numFmtId="49" fontId="116" fillId="29" borderId="24" xfId="0" applyNumberFormat="1" applyFont="1" applyFill="1" applyBorder="1" applyAlignment="1">
      <alignment horizontal="left" vertical="top"/>
    </xf>
    <xf numFmtId="49" fontId="116" fillId="29" borderId="21" xfId="0" applyNumberFormat="1" applyFont="1" applyFill="1" applyBorder="1" applyAlignment="1">
      <alignment horizontal="left" vertical="top"/>
    </xf>
    <xf numFmtId="49" fontId="116" fillId="29" borderId="31" xfId="0" applyNumberFormat="1" applyFont="1" applyFill="1" applyBorder="1" applyAlignment="1">
      <alignment horizontal="left" vertical="top"/>
    </xf>
    <xf numFmtId="49" fontId="116" fillId="29" borderId="65" xfId="0" applyNumberFormat="1" applyFont="1" applyFill="1" applyBorder="1" applyAlignment="1">
      <alignment horizontal="left" vertical="top"/>
    </xf>
    <xf numFmtId="49" fontId="116" fillId="29" borderId="37" xfId="0" applyNumberFormat="1" applyFont="1" applyFill="1" applyBorder="1" applyAlignment="1">
      <alignment horizontal="left" vertical="top"/>
    </xf>
    <xf numFmtId="49" fontId="85" fillId="0" borderId="14" xfId="0" applyNumberFormat="1" applyFont="1" applyBorder="1" applyAlignment="1">
      <alignment horizontal="left" vertical="top"/>
    </xf>
    <xf numFmtId="49" fontId="84" fillId="29" borderId="14" xfId="0" applyNumberFormat="1" applyFont="1" applyFill="1" applyBorder="1" applyAlignment="1">
      <alignment horizontal="left" vertical="top" wrapText="1"/>
    </xf>
    <xf numFmtId="49" fontId="102" fillId="29" borderId="14" xfId="0" applyNumberFormat="1" applyFont="1" applyFill="1" applyBorder="1" applyAlignment="1">
      <alignment horizontal="left" vertical="top" wrapText="1"/>
    </xf>
    <xf numFmtId="49" fontId="116" fillId="29" borderId="19" xfId="0" applyNumberFormat="1" applyFont="1" applyFill="1" applyBorder="1" applyAlignment="1">
      <alignment horizontal="left" vertical="top" textRotation="90" wrapText="1"/>
    </xf>
    <xf numFmtId="49" fontId="116" fillId="29" borderId="24" xfId="0" applyNumberFormat="1" applyFont="1" applyFill="1" applyBorder="1" applyAlignment="1">
      <alignment horizontal="left" vertical="top" textRotation="90" wrapText="1"/>
    </xf>
    <xf numFmtId="0" fontId="85" fillId="4" borderId="24" xfId="0" applyFont="1" applyFill="1" applyBorder="1" applyAlignment="1">
      <alignment horizontal="left" vertical="top" textRotation="90" wrapText="1"/>
    </xf>
    <xf numFmtId="49" fontId="116" fillId="29" borderId="19" xfId="0" applyNumberFormat="1" applyFont="1" applyFill="1" applyBorder="1" applyAlignment="1">
      <alignment horizontal="left" vertical="top" wrapText="1"/>
    </xf>
    <xf numFmtId="49" fontId="116" fillId="29" borderId="21" xfId="0" applyNumberFormat="1" applyFont="1" applyFill="1" applyBorder="1" applyAlignment="1">
      <alignment horizontal="left" vertical="top" wrapText="1"/>
    </xf>
    <xf numFmtId="0" fontId="84" fillId="0" borderId="9" xfId="0" applyFont="1" applyBorder="1" applyAlignment="1">
      <alignment horizontal="left" vertical="top" wrapText="1"/>
    </xf>
    <xf numFmtId="0" fontId="85" fillId="0" borderId="16" xfId="0" applyFont="1" applyBorder="1" applyAlignment="1">
      <alignment horizontal="left" vertical="top" textRotation="90" wrapText="1"/>
    </xf>
    <xf numFmtId="0" fontId="85" fillId="0" borderId="6" xfId="0" applyFont="1" applyBorder="1" applyAlignment="1">
      <alignment horizontal="left" vertical="top" textRotation="90" wrapText="1"/>
    </xf>
    <xf numFmtId="49" fontId="84" fillId="35" borderId="6" xfId="0" applyNumberFormat="1" applyFont="1" applyFill="1" applyBorder="1" applyAlignment="1">
      <alignment horizontal="left" vertical="top"/>
    </xf>
    <xf numFmtId="0" fontId="85" fillId="0" borderId="9" xfId="0" applyFont="1" applyBorder="1" applyAlignment="1">
      <alignment horizontal="left" vertical="top" textRotation="90" wrapText="1"/>
    </xf>
    <xf numFmtId="0" fontId="84" fillId="35" borderId="6" xfId="0" applyFont="1" applyFill="1" applyBorder="1" applyAlignment="1">
      <alignment horizontal="left" vertical="top" wrapText="1"/>
    </xf>
    <xf numFmtId="49" fontId="105" fillId="0" borderId="8" xfId="0" applyNumberFormat="1" applyFont="1" applyBorder="1" applyAlignment="1">
      <alignment horizontal="left" vertical="top"/>
    </xf>
    <xf numFmtId="49" fontId="105" fillId="0" borderId="29" xfId="0" applyNumberFormat="1" applyFont="1" applyBorder="1" applyAlignment="1">
      <alignment horizontal="left" vertical="top"/>
    </xf>
    <xf numFmtId="0" fontId="105" fillId="0" borderId="14" xfId="0" applyFont="1" applyBorder="1" applyAlignment="1">
      <alignment horizontal="left" vertical="top" textRotation="90" wrapText="1"/>
    </xf>
    <xf numFmtId="0" fontId="85" fillId="0" borderId="8" xfId="0" applyFont="1" applyBorder="1" applyAlignment="1">
      <alignment horizontal="left" vertical="top" textRotation="90" wrapText="1"/>
    </xf>
    <xf numFmtId="49" fontId="85" fillId="29" borderId="7" xfId="0" applyNumberFormat="1" applyFont="1" applyFill="1" applyBorder="1" applyAlignment="1">
      <alignment horizontal="left" vertical="top"/>
    </xf>
    <xf numFmtId="49" fontId="85" fillId="29" borderId="18" xfId="0" applyNumberFormat="1" applyFont="1" applyFill="1" applyBorder="1" applyAlignment="1">
      <alignment horizontal="left" vertical="top"/>
    </xf>
    <xf numFmtId="0" fontId="84" fillId="0" borderId="7" xfId="0" applyFont="1" applyBorder="1" applyAlignment="1">
      <alignment horizontal="left" vertical="top" wrapText="1"/>
    </xf>
    <xf numFmtId="0" fontId="116" fillId="29" borderId="18" xfId="0" applyFont="1" applyFill="1" applyBorder="1" applyAlignment="1">
      <alignment horizontal="left" vertical="top" wrapText="1"/>
    </xf>
    <xf numFmtId="0" fontId="116" fillId="29" borderId="14" xfId="0" applyFont="1" applyFill="1" applyBorder="1" applyAlignment="1">
      <alignment horizontal="left" vertical="top" textRotation="90" wrapText="1"/>
    </xf>
    <xf numFmtId="0" fontId="85" fillId="0" borderId="7" xfId="0" applyFont="1" applyBorder="1" applyAlignment="1">
      <alignment horizontal="left" vertical="top" textRotation="90" wrapText="1"/>
    </xf>
    <xf numFmtId="166" fontId="85" fillId="0" borderId="19" xfId="0" applyNumberFormat="1" applyFont="1" applyBorder="1" applyAlignment="1">
      <alignment horizontal="justify" vertical="top"/>
    </xf>
    <xf numFmtId="0" fontId="85" fillId="0" borderId="29" xfId="0" applyFont="1" applyBorder="1" applyAlignment="1">
      <alignment horizontal="left" vertical="top" textRotation="90" wrapText="1"/>
    </xf>
    <xf numFmtId="49" fontId="85" fillId="0" borderId="6" xfId="0" applyNumberFormat="1" applyFont="1" applyBorder="1" applyAlignment="1">
      <alignment horizontal="left" vertical="top" wrapText="1"/>
    </xf>
    <xf numFmtId="49" fontId="105" fillId="0" borderId="6" xfId="0" applyNumberFormat="1" applyFont="1" applyBorder="1" applyAlignment="1">
      <alignment horizontal="left" vertical="top"/>
    </xf>
    <xf numFmtId="0" fontId="91" fillId="0" borderId="0" xfId="0" applyFont="1" applyAlignment="1">
      <alignment vertical="center"/>
    </xf>
    <xf numFmtId="0" fontId="85" fillId="17" borderId="21" xfId="0" applyFont="1" applyFill="1" applyBorder="1" applyAlignment="1">
      <alignment horizontal="left" vertical="top"/>
    </xf>
    <xf numFmtId="0" fontId="84" fillId="0" borderId="14" xfId="0" applyFont="1" applyBorder="1" applyAlignment="1">
      <alignment horizontal="center" vertical="center" wrapText="1"/>
    </xf>
    <xf numFmtId="0" fontId="84" fillId="0" borderId="14" xfId="0" applyFont="1" applyBorder="1" applyAlignment="1">
      <alignment horizontal="left" vertical="center" wrapText="1"/>
    </xf>
    <xf numFmtId="0" fontId="84" fillId="0" borderId="14" xfId="0" applyFont="1" applyBorder="1" applyAlignment="1">
      <alignment horizontal="left" vertical="center"/>
    </xf>
    <xf numFmtId="0" fontId="85" fillId="0" borderId="36" xfId="0" applyFont="1" applyBorder="1" applyAlignment="1">
      <alignment horizontal="left" vertical="top" textRotation="90" wrapText="1"/>
    </xf>
    <xf numFmtId="0" fontId="85" fillId="0" borderId="30" xfId="0" applyFont="1" applyBorder="1" applyAlignment="1">
      <alignment horizontal="left" vertical="top" textRotation="90" wrapText="1"/>
    </xf>
    <xf numFmtId="0" fontId="85" fillId="0" borderId="0" xfId="0" applyFont="1" applyAlignment="1">
      <alignment vertical="center"/>
    </xf>
    <xf numFmtId="0" fontId="119" fillId="0" borderId="38" xfId="0" applyFont="1" applyBorder="1" applyAlignment="1">
      <alignment vertical="center" wrapText="1"/>
    </xf>
    <xf numFmtId="0" fontId="84" fillId="4" borderId="19" xfId="0" applyFont="1" applyFill="1" applyBorder="1" applyAlignment="1">
      <alignment horizontal="center" vertical="center" wrapText="1"/>
    </xf>
    <xf numFmtId="0" fontId="84" fillId="4" borderId="21" xfId="0" applyFont="1" applyFill="1" applyBorder="1" applyAlignment="1">
      <alignment horizontal="center" vertical="center" wrapText="1"/>
    </xf>
    <xf numFmtId="0" fontId="85" fillId="35" borderId="19" xfId="0" applyFont="1" applyFill="1" applyBorder="1" applyAlignment="1">
      <alignment horizontal="left" vertical="top"/>
    </xf>
    <xf numFmtId="0" fontId="85" fillId="35" borderId="24" xfId="0" applyFont="1" applyFill="1" applyBorder="1" applyAlignment="1">
      <alignment horizontal="left" vertical="top"/>
    </xf>
    <xf numFmtId="0" fontId="85" fillId="35" borderId="21" xfId="0" applyFont="1" applyFill="1" applyBorder="1" applyAlignment="1">
      <alignment horizontal="left" vertical="top"/>
    </xf>
    <xf numFmtId="0" fontId="85" fillId="0" borderId="0" xfId="0" applyFont="1" applyAlignment="1">
      <alignment horizontal="center" wrapText="1"/>
    </xf>
    <xf numFmtId="0" fontId="103" fillId="0" borderId="14" xfId="0" applyFont="1" applyBorder="1" applyAlignment="1">
      <alignment horizontal="left" vertical="center" wrapText="1"/>
    </xf>
    <xf numFmtId="0" fontId="85" fillId="0" borderId="14" xfId="0" applyFont="1" applyBorder="1" applyAlignment="1">
      <alignment horizontal="left" vertical="center" wrapText="1"/>
    </xf>
    <xf numFmtId="0" fontId="85" fillId="0" borderId="19" xfId="0" applyFont="1" applyBorder="1" applyAlignment="1">
      <alignment horizontal="left" vertical="center" wrapText="1"/>
    </xf>
    <xf numFmtId="0" fontId="85" fillId="0" borderId="21" xfId="0" applyFont="1" applyBorder="1" applyAlignment="1">
      <alignment horizontal="left" vertical="center" wrapText="1"/>
    </xf>
    <xf numFmtId="0" fontId="85" fillId="34" borderId="19" xfId="0" applyFont="1" applyFill="1" applyBorder="1" applyAlignment="1">
      <alignment horizontal="left" vertical="center" wrapText="1"/>
    </xf>
    <xf numFmtId="0" fontId="85" fillId="34" borderId="21" xfId="0" applyFont="1" applyFill="1" applyBorder="1" applyAlignment="1">
      <alignment horizontal="left" vertical="center" wrapText="1"/>
    </xf>
    <xf numFmtId="0" fontId="106" fillId="0" borderId="14" xfId="0" applyFont="1" applyBorder="1" applyAlignment="1">
      <alignment horizontal="left" vertical="center" wrapText="1"/>
    </xf>
    <xf numFmtId="0" fontId="85" fillId="34" borderId="14" xfId="0" applyFont="1" applyFill="1" applyBorder="1" applyAlignment="1">
      <alignment horizontal="left" vertical="center" wrapText="1"/>
    </xf>
    <xf numFmtId="0" fontId="85" fillId="0" borderId="0" xfId="0" applyFont="1" applyAlignment="1">
      <alignment horizontal="left" vertical="top" wrapText="1"/>
    </xf>
    <xf numFmtId="49" fontId="107" fillId="0" borderId="21" xfId="0" applyNumberFormat="1" applyFont="1" applyBorder="1" applyAlignment="1">
      <alignment horizontal="left" vertical="top" wrapText="1"/>
    </xf>
    <xf numFmtId="49" fontId="107" fillId="0" borderId="14" xfId="0" applyNumberFormat="1" applyFont="1" applyBorder="1" applyAlignment="1">
      <alignment horizontal="left" vertical="top" wrapText="1"/>
    </xf>
    <xf numFmtId="49" fontId="107" fillId="0" borderId="24" xfId="0" applyNumberFormat="1" applyFont="1" applyBorder="1" applyAlignment="1">
      <alignment horizontal="left" vertical="top" wrapText="1"/>
    </xf>
    <xf numFmtId="49" fontId="107" fillId="0" borderId="19" xfId="0" applyNumberFormat="1" applyFont="1" applyBorder="1" applyAlignment="1">
      <alignment horizontal="left" vertical="top" wrapText="1"/>
    </xf>
    <xf numFmtId="0" fontId="85" fillId="17" borderId="35" xfId="0" applyFont="1" applyFill="1" applyBorder="1" applyAlignment="1">
      <alignment horizontal="left" vertical="top"/>
    </xf>
    <xf numFmtId="0" fontId="85" fillId="17" borderId="17" xfId="0" applyFont="1" applyFill="1" applyBorder="1" applyAlignment="1">
      <alignment horizontal="left" vertical="top"/>
    </xf>
    <xf numFmtId="0" fontId="107" fillId="0" borderId="14" xfId="0" applyFont="1" applyBorder="1" applyAlignment="1">
      <alignment horizontal="left" vertical="top"/>
    </xf>
    <xf numFmtId="0" fontId="84" fillId="28" borderId="65" xfId="0" applyFont="1" applyFill="1" applyBorder="1" applyAlignment="1">
      <alignment horizontal="left" vertical="top" wrapText="1"/>
    </xf>
    <xf numFmtId="0" fontId="84" fillId="28" borderId="0" xfId="0" applyFont="1" applyFill="1" applyAlignment="1">
      <alignment horizontal="left" vertical="top" wrapText="1"/>
    </xf>
    <xf numFmtId="0" fontId="84" fillId="28" borderId="57" xfId="0" applyFont="1" applyFill="1" applyBorder="1" applyAlignment="1">
      <alignment horizontal="left" vertical="top" wrapText="1"/>
    </xf>
    <xf numFmtId="166" fontId="85" fillId="28" borderId="14" xfId="0" applyNumberFormat="1" applyFont="1" applyFill="1" applyBorder="1" applyAlignment="1">
      <alignment horizontal="left" vertical="top"/>
    </xf>
    <xf numFmtId="0" fontId="107" fillId="0" borderId="24" xfId="0" applyFont="1" applyBorder="1" applyAlignment="1">
      <alignment horizontal="left" vertical="top"/>
    </xf>
    <xf numFmtId="0" fontId="107" fillId="0" borderId="21" xfId="0" applyFont="1" applyBorder="1" applyAlignment="1">
      <alignment horizontal="left" vertical="top"/>
    </xf>
    <xf numFmtId="0" fontId="107" fillId="0" borderId="19" xfId="0" applyFont="1" applyBorder="1" applyAlignment="1">
      <alignment horizontal="left" vertical="top"/>
    </xf>
    <xf numFmtId="166" fontId="84" fillId="0" borderId="24" xfId="0" applyNumberFormat="1" applyFont="1" applyBorder="1" applyAlignment="1">
      <alignment horizontal="left" vertical="top"/>
    </xf>
    <xf numFmtId="49" fontId="85" fillId="0" borderId="58" xfId="0" applyNumberFormat="1" applyFont="1" applyBorder="1" applyAlignment="1">
      <alignment horizontal="left" vertical="top"/>
    </xf>
    <xf numFmtId="0" fontId="81" fillId="0" borderId="0" xfId="0" applyFont="1" applyAlignment="1">
      <alignment horizontal="center" vertical="center"/>
    </xf>
    <xf numFmtId="0" fontId="85" fillId="4" borderId="8" xfId="0" applyFont="1" applyFill="1" applyBorder="1" applyAlignment="1">
      <alignment horizontal="left" vertical="top" textRotation="90" wrapText="1"/>
    </xf>
    <xf numFmtId="0" fontId="85" fillId="4" borderId="29" xfId="0" applyFont="1" applyFill="1" applyBorder="1" applyAlignment="1">
      <alignment horizontal="left" vertical="top" textRotation="90" wrapText="1"/>
    </xf>
    <xf numFmtId="166" fontId="107" fillId="0" borderId="14" xfId="0" applyNumberFormat="1" applyFont="1" applyBorder="1" applyAlignment="1">
      <alignment horizontal="justify" vertical="top" wrapText="1"/>
    </xf>
    <xf numFmtId="166" fontId="107" fillId="0" borderId="14" xfId="0" applyNumberFormat="1" applyFont="1" applyBorder="1" applyAlignment="1">
      <alignment horizontal="justify" vertical="top"/>
    </xf>
    <xf numFmtId="0" fontId="84" fillId="4" borderId="6" xfId="0" applyFont="1" applyFill="1" applyBorder="1" applyAlignment="1">
      <alignment horizontal="left" vertical="top" wrapText="1"/>
    </xf>
    <xf numFmtId="0" fontId="84" fillId="4" borderId="7" xfId="0" applyFont="1" applyFill="1" applyBorder="1" applyAlignment="1">
      <alignment horizontal="left" vertical="top" wrapText="1"/>
    </xf>
    <xf numFmtId="0" fontId="85" fillId="4" borderId="16" xfId="0" applyFont="1" applyFill="1" applyBorder="1" applyAlignment="1">
      <alignment horizontal="left" vertical="top" textRotation="90" wrapText="1"/>
    </xf>
    <xf numFmtId="0" fontId="85" fillId="17" borderId="19" xfId="0" applyFont="1" applyFill="1" applyBorder="1" applyAlignment="1">
      <alignment horizontal="left" vertical="top"/>
    </xf>
    <xf numFmtId="0" fontId="85" fillId="17" borderId="24" xfId="0" applyFont="1" applyFill="1" applyBorder="1" applyAlignment="1">
      <alignment horizontal="left" vertical="top"/>
    </xf>
    <xf numFmtId="0" fontId="84" fillId="4" borderId="18" xfId="0" applyFont="1" applyFill="1" applyBorder="1" applyAlignment="1">
      <alignment horizontal="left" vertical="top" wrapText="1"/>
    </xf>
    <xf numFmtId="0" fontId="84" fillId="4" borderId="9" xfId="0" applyFont="1" applyFill="1" applyBorder="1" applyAlignment="1">
      <alignment horizontal="left" vertical="top" wrapText="1"/>
    </xf>
    <xf numFmtId="0" fontId="84" fillId="18" borderId="14" xfId="0" applyFont="1" applyFill="1" applyBorder="1" applyAlignment="1">
      <alignment horizontal="left" vertical="top" wrapText="1"/>
    </xf>
    <xf numFmtId="0" fontId="85" fillId="29" borderId="14" xfId="0" applyFont="1" applyFill="1" applyBorder="1" applyAlignment="1">
      <alignment horizontal="left" vertical="top" wrapText="1"/>
    </xf>
    <xf numFmtId="166" fontId="84" fillId="0" borderId="36" xfId="0" applyNumberFormat="1" applyFont="1" applyBorder="1" applyAlignment="1">
      <alignment horizontal="left" vertical="top" wrapText="1"/>
    </xf>
    <xf numFmtId="166" fontId="84" fillId="0" borderId="0" xfId="0" applyNumberFormat="1" applyFont="1" applyAlignment="1">
      <alignment horizontal="left" vertical="top" wrapText="1"/>
    </xf>
    <xf numFmtId="49" fontId="85" fillId="0" borderId="0" xfId="0" applyNumberFormat="1" applyFont="1" applyAlignment="1">
      <alignment horizontal="left" vertical="top" wrapText="1"/>
    </xf>
    <xf numFmtId="0" fontId="84" fillId="0" borderId="0" xfId="0" applyFont="1" applyAlignment="1">
      <alignment horizontal="left" vertical="top" wrapText="1"/>
    </xf>
    <xf numFmtId="0" fontId="103" fillId="0" borderId="15" xfId="0" applyFont="1" applyBorder="1" applyAlignment="1">
      <alignment horizontal="center" vertical="center" wrapText="1"/>
    </xf>
    <xf numFmtId="0" fontId="103" fillId="0" borderId="35" xfId="0" applyFont="1" applyBorder="1" applyAlignment="1">
      <alignment horizontal="center" vertical="center" wrapText="1"/>
    </xf>
    <xf numFmtId="0" fontId="103" fillId="0" borderId="17" xfId="0" applyFont="1" applyBorder="1" applyAlignment="1">
      <alignment horizontal="center" vertical="center" wrapText="1"/>
    </xf>
    <xf numFmtId="0" fontId="103" fillId="0" borderId="19" xfId="0" applyFont="1" applyBorder="1" applyAlignment="1">
      <alignment horizontal="center" vertical="center" wrapText="1"/>
    </xf>
    <xf numFmtId="0" fontId="103" fillId="0" borderId="21" xfId="0" applyFont="1" applyBorder="1" applyAlignment="1">
      <alignment horizontal="center" vertical="center" wrapText="1"/>
    </xf>
    <xf numFmtId="0" fontId="84" fillId="0" borderId="96" xfId="0" applyFont="1" applyBorder="1" applyAlignment="1">
      <alignment horizontal="center" vertical="center" textRotation="90" wrapText="1"/>
    </xf>
    <xf numFmtId="0" fontId="84" fillId="0" borderId="97" xfId="0" applyFont="1" applyBorder="1" applyAlignment="1">
      <alignment horizontal="center" vertical="center" textRotation="90" wrapText="1"/>
    </xf>
    <xf numFmtId="0" fontId="84" fillId="0" borderId="29" xfId="0" applyFont="1" applyBorder="1" applyAlignment="1">
      <alignment horizontal="center" vertical="center" textRotation="90" wrapText="1"/>
    </xf>
    <xf numFmtId="0" fontId="84" fillId="0" borderId="93" xfId="0" applyFont="1" applyBorder="1" applyAlignment="1">
      <alignment horizontal="center" vertical="center" textRotation="90" wrapText="1"/>
    </xf>
    <xf numFmtId="49" fontId="84" fillId="0" borderId="89" xfId="0" applyNumberFormat="1" applyFont="1" applyBorder="1" applyAlignment="1">
      <alignment horizontal="left" vertical="top" wrapText="1"/>
    </xf>
    <xf numFmtId="49" fontId="84" fillId="0" borderId="92" xfId="0" applyNumberFormat="1" applyFont="1" applyBorder="1" applyAlignment="1">
      <alignment horizontal="left" vertical="top" wrapText="1"/>
    </xf>
    <xf numFmtId="166" fontId="107" fillId="0" borderId="24" xfId="0" applyNumberFormat="1" applyFont="1" applyBorder="1" applyAlignment="1">
      <alignment horizontal="justify" vertical="top" wrapText="1"/>
    </xf>
    <xf numFmtId="0" fontId="84" fillId="4" borderId="58" xfId="0" applyFont="1" applyFill="1" applyBorder="1" applyAlignment="1">
      <alignment horizontal="left" vertical="top" wrapText="1"/>
    </xf>
    <xf numFmtId="0" fontId="85" fillId="4" borderId="67" xfId="0" applyFont="1" applyFill="1" applyBorder="1" applyAlignment="1">
      <alignment horizontal="left" vertical="top" textRotation="90" wrapText="1"/>
    </xf>
    <xf numFmtId="0" fontId="85" fillId="4" borderId="23" xfId="0" applyFont="1" applyFill="1" applyBorder="1" applyAlignment="1">
      <alignment horizontal="left" vertical="top" textRotation="90" wrapText="1"/>
    </xf>
    <xf numFmtId="49" fontId="85" fillId="0" borderId="31" xfId="0" applyNumberFormat="1" applyFont="1" applyBorder="1" applyAlignment="1">
      <alignment horizontal="left" vertical="top" textRotation="90"/>
    </xf>
    <xf numFmtId="49" fontId="85" fillId="0" borderId="65" xfId="0" applyNumberFormat="1" applyFont="1" applyBorder="1" applyAlignment="1">
      <alignment horizontal="left" vertical="top" textRotation="90"/>
    </xf>
    <xf numFmtId="49" fontId="84" fillId="28" borderId="17" xfId="0" applyNumberFormat="1" applyFont="1" applyFill="1" applyBorder="1" applyAlignment="1">
      <alignment horizontal="left" vertical="top" wrapText="1"/>
    </xf>
    <xf numFmtId="0" fontId="85" fillId="17" borderId="15" xfId="0" applyFont="1" applyFill="1" applyBorder="1" applyAlignment="1">
      <alignment horizontal="left" vertical="top"/>
    </xf>
    <xf numFmtId="0" fontId="85" fillId="29" borderId="19" xfId="0" applyFont="1" applyFill="1" applyBorder="1" applyAlignment="1">
      <alignment horizontal="left" vertical="top"/>
    </xf>
    <xf numFmtId="0" fontId="85" fillId="29" borderId="24" xfId="0" applyFont="1" applyFill="1" applyBorder="1" applyAlignment="1">
      <alignment horizontal="left" vertical="top"/>
    </xf>
    <xf numFmtId="0" fontId="85" fillId="29" borderId="21" xfId="0" applyFont="1" applyFill="1" applyBorder="1" applyAlignment="1">
      <alignment horizontal="left" vertical="top"/>
    </xf>
    <xf numFmtId="0" fontId="85" fillId="0" borderId="19" xfId="0" applyFont="1" applyBorder="1" applyAlignment="1">
      <alignment horizontal="left" vertical="top" wrapText="1"/>
    </xf>
    <xf numFmtId="49" fontId="85" fillId="34" borderId="21" xfId="0" applyNumberFormat="1" applyFont="1" applyFill="1" applyBorder="1" applyAlignment="1">
      <alignment horizontal="left" vertical="top" wrapText="1"/>
    </xf>
    <xf numFmtId="49" fontId="85" fillId="34" borderId="14" xfId="0" applyNumberFormat="1" applyFont="1" applyFill="1" applyBorder="1" applyAlignment="1">
      <alignment horizontal="left" vertical="top" wrapText="1"/>
    </xf>
    <xf numFmtId="49" fontId="116" fillId="29" borderId="14" xfId="0" applyNumberFormat="1" applyFont="1" applyFill="1" applyBorder="1" applyAlignment="1">
      <alignment horizontal="left" vertical="top" wrapText="1"/>
    </xf>
    <xf numFmtId="49" fontId="85" fillId="29" borderId="21" xfId="0" applyNumberFormat="1" applyFont="1" applyFill="1" applyBorder="1" applyAlignment="1">
      <alignment horizontal="left" vertical="top" wrapText="1"/>
    </xf>
    <xf numFmtId="49" fontId="85" fillId="29" borderId="14" xfId="0" applyNumberFormat="1" applyFont="1" applyFill="1" applyBorder="1" applyAlignment="1">
      <alignment horizontal="left" vertical="top" wrapText="1"/>
    </xf>
    <xf numFmtId="0" fontId="85" fillId="0" borderId="21" xfId="0" applyFont="1" applyBorder="1" applyAlignment="1">
      <alignment horizontal="left" vertical="top" wrapText="1"/>
    </xf>
    <xf numFmtId="166" fontId="101" fillId="0" borderId="14" xfId="0" applyNumberFormat="1" applyFont="1" applyBorder="1" applyAlignment="1">
      <alignment horizontal="justify" vertical="top"/>
    </xf>
    <xf numFmtId="166" fontId="101" fillId="0" borderId="19" xfId="0" applyNumberFormat="1" applyFont="1" applyBorder="1" applyAlignment="1">
      <alignment horizontal="justify" vertical="top"/>
    </xf>
    <xf numFmtId="49" fontId="101" fillId="0" borderId="21" xfId="0" applyNumberFormat="1" applyFont="1" applyBorder="1" applyAlignment="1">
      <alignment horizontal="left" vertical="top" wrapText="1"/>
    </xf>
    <xf numFmtId="49" fontId="101" fillId="0" borderId="19" xfId="0" applyNumberFormat="1" applyFont="1" applyBorder="1" applyAlignment="1">
      <alignment horizontal="left" vertical="top" wrapText="1"/>
    </xf>
    <xf numFmtId="0" fontId="85" fillId="4" borderId="6" xfId="0" applyFont="1" applyFill="1" applyBorder="1" applyAlignment="1">
      <alignment horizontal="left" vertical="top" textRotation="90" wrapText="1"/>
    </xf>
    <xf numFmtId="0" fontId="85" fillId="4" borderId="7" xfId="0" applyFont="1" applyFill="1" applyBorder="1" applyAlignment="1">
      <alignment horizontal="left" vertical="top" textRotation="90" wrapText="1"/>
    </xf>
    <xf numFmtId="0" fontId="85" fillId="4" borderId="9" xfId="0" applyFont="1" applyFill="1" applyBorder="1" applyAlignment="1">
      <alignment horizontal="left" vertical="top" textRotation="90" wrapText="1"/>
    </xf>
    <xf numFmtId="49" fontId="85" fillId="34" borderId="19" xfId="0" applyNumberFormat="1" applyFont="1" applyFill="1" applyBorder="1" applyAlignment="1">
      <alignment horizontal="left" vertical="top" wrapText="1"/>
    </xf>
    <xf numFmtId="0" fontId="85" fillId="0" borderId="24" xfId="0" applyFont="1" applyBorder="1" applyAlignment="1">
      <alignment horizontal="left" vertical="top" wrapText="1"/>
    </xf>
    <xf numFmtId="49" fontId="116" fillId="29" borderId="9" xfId="0" applyNumberFormat="1" applyFont="1" applyFill="1" applyBorder="1" applyAlignment="1">
      <alignment horizontal="left" vertical="top"/>
    </xf>
    <xf numFmtId="49" fontId="116" fillId="29" borderId="6" xfId="0" applyNumberFormat="1" applyFont="1" applyFill="1" applyBorder="1" applyAlignment="1">
      <alignment horizontal="left" vertical="top"/>
    </xf>
    <xf numFmtId="49" fontId="116" fillId="29" borderId="21" xfId="0" applyNumberFormat="1" applyFont="1" applyFill="1" applyBorder="1" applyAlignment="1">
      <alignment horizontal="left" vertical="top" textRotation="90"/>
    </xf>
    <xf numFmtId="49" fontId="116" fillId="29" borderId="14" xfId="0" applyNumberFormat="1" applyFont="1" applyFill="1" applyBorder="1" applyAlignment="1">
      <alignment horizontal="left" vertical="top" textRotation="90"/>
    </xf>
    <xf numFmtId="166" fontId="116" fillId="29" borderId="14" xfId="0" applyNumberFormat="1" applyFont="1" applyFill="1" applyBorder="1" applyAlignment="1">
      <alignment horizontal="justify" vertical="top" wrapText="1"/>
    </xf>
    <xf numFmtId="49" fontId="116" fillId="29" borderId="24" xfId="0" applyNumberFormat="1" applyFont="1" applyFill="1" applyBorder="1" applyAlignment="1">
      <alignment horizontal="left" vertical="top" wrapText="1"/>
    </xf>
    <xf numFmtId="0" fontId="84" fillId="0" borderId="98" xfId="0" applyFont="1" applyBorder="1" applyAlignment="1">
      <alignment horizontal="center" vertical="center" textRotation="90" wrapText="1"/>
    </xf>
    <xf numFmtId="0" fontId="84" fillId="0" borderId="23" xfId="0" applyFont="1" applyBorder="1" applyAlignment="1">
      <alignment horizontal="center" vertical="center" textRotation="90" wrapText="1"/>
    </xf>
    <xf numFmtId="0" fontId="102" fillId="0" borderId="19" xfId="0" applyFont="1" applyBorder="1" applyAlignment="1">
      <alignment horizontal="left" vertical="center" wrapText="1"/>
    </xf>
    <xf numFmtId="0" fontId="102" fillId="0" borderId="24" xfId="0" applyFont="1" applyBorder="1" applyAlignment="1">
      <alignment horizontal="left" vertical="center" wrapText="1"/>
    </xf>
    <xf numFmtId="0" fontId="84" fillId="0" borderId="31" xfId="0" applyFont="1" applyBorder="1" applyAlignment="1">
      <alignment horizontal="left" vertical="center" wrapText="1"/>
    </xf>
    <xf numFmtId="0" fontId="84" fillId="0" borderId="37" xfId="0" applyFont="1" applyBorder="1" applyAlignment="1">
      <alignment horizontal="left" vertical="center" wrapText="1"/>
    </xf>
    <xf numFmtId="0" fontId="84" fillId="0" borderId="24" xfId="0" applyFont="1" applyBorder="1" applyAlignment="1">
      <alignment horizontal="center" vertical="center" wrapText="1"/>
    </xf>
    <xf numFmtId="0" fontId="85" fillId="0" borderId="0" xfId="0" applyFont="1" applyAlignment="1">
      <alignment horizontal="left"/>
    </xf>
    <xf numFmtId="49" fontId="85" fillId="0" borderId="0" xfId="0" applyNumberFormat="1" applyFont="1" applyAlignment="1">
      <alignment horizontal="left" wrapText="1"/>
    </xf>
    <xf numFmtId="0" fontId="85" fillId="0" borderId="0" xfId="0" applyFont="1" applyAlignment="1">
      <alignment horizontal="left" wrapText="1"/>
    </xf>
    <xf numFmtId="49" fontId="84" fillId="0" borderId="19" xfId="0" applyNumberFormat="1" applyFont="1" applyBorder="1" applyAlignment="1">
      <alignment horizontal="left" vertical="top" wrapText="1"/>
    </xf>
    <xf numFmtId="49" fontId="85" fillId="0" borderId="21" xfId="0" applyNumberFormat="1" applyFont="1" applyBorder="1" applyAlignment="1">
      <alignment horizontal="left" vertical="top" textRotation="90"/>
    </xf>
    <xf numFmtId="49" fontId="85" fillId="0" borderId="19" xfId="0" applyNumberFormat="1" applyFont="1" applyBorder="1" applyAlignment="1">
      <alignment horizontal="left" vertical="top" textRotation="90"/>
    </xf>
    <xf numFmtId="0" fontId="84" fillId="0" borderId="19" xfId="0" applyFont="1" applyBorder="1" applyAlignment="1">
      <alignment horizontal="center" vertical="top"/>
    </xf>
    <xf numFmtId="0" fontId="84" fillId="0" borderId="24" xfId="0" applyFont="1" applyBorder="1" applyAlignment="1">
      <alignment horizontal="center" vertical="top"/>
    </xf>
    <xf numFmtId="169" fontId="84" fillId="21" borderId="19" xfId="22" applyNumberFormat="1" applyFont="1" applyFill="1" applyBorder="1" applyAlignment="1">
      <alignment horizontal="left" vertical="top"/>
    </xf>
    <xf numFmtId="169" fontId="84" fillId="21" borderId="21" xfId="22" applyNumberFormat="1" applyFont="1" applyFill="1" applyBorder="1" applyAlignment="1">
      <alignment horizontal="left" vertical="top"/>
    </xf>
    <xf numFmtId="166" fontId="84" fillId="21" borderId="19" xfId="0" applyNumberFormat="1" applyFont="1" applyFill="1" applyBorder="1" applyAlignment="1">
      <alignment horizontal="left" vertical="top"/>
    </xf>
    <xf numFmtId="166" fontId="84" fillId="21" borderId="21" xfId="0" applyNumberFormat="1" applyFont="1" applyFill="1" applyBorder="1" applyAlignment="1">
      <alignment horizontal="left" vertical="top"/>
    </xf>
    <xf numFmtId="166" fontId="84" fillId="21" borderId="89" xfId="0" applyNumberFormat="1" applyFont="1" applyFill="1" applyBorder="1" applyAlignment="1">
      <alignment horizontal="left" vertical="top"/>
    </xf>
    <xf numFmtId="166" fontId="84" fillId="21" borderId="100" xfId="0" applyNumberFormat="1" applyFont="1" applyFill="1" applyBorder="1" applyAlignment="1">
      <alignment horizontal="left" vertical="top"/>
    </xf>
    <xf numFmtId="0" fontId="84" fillId="21" borderId="7" xfId="0" applyFont="1" applyFill="1" applyBorder="1" applyAlignment="1">
      <alignment horizontal="left" vertical="top"/>
    </xf>
    <xf numFmtId="0" fontId="84" fillId="21" borderId="9" xfId="0" applyFont="1" applyFill="1" applyBorder="1" applyAlignment="1">
      <alignment horizontal="left" vertical="top"/>
    </xf>
    <xf numFmtId="0" fontId="85" fillId="4" borderId="14" xfId="0" applyFont="1" applyFill="1" applyBorder="1" applyAlignment="1">
      <alignment horizontal="left" vertical="top" textRotation="90" wrapText="1"/>
    </xf>
    <xf numFmtId="0" fontId="85" fillId="4" borderId="58" xfId="0" applyFont="1" applyFill="1" applyBorder="1" applyAlignment="1">
      <alignment horizontal="left" vertical="top" textRotation="90" wrapText="1"/>
    </xf>
    <xf numFmtId="0" fontId="85" fillId="4" borderId="18" xfId="0" applyFont="1" applyFill="1" applyBorder="1" applyAlignment="1">
      <alignment horizontal="left" vertical="top" textRotation="90" wrapText="1"/>
    </xf>
    <xf numFmtId="49" fontId="85" fillId="0" borderId="24" xfId="0" applyNumberFormat="1" applyFont="1" applyBorder="1" applyAlignment="1">
      <alignment horizontal="left" vertical="top" textRotation="90"/>
    </xf>
    <xf numFmtId="0" fontId="85" fillId="0" borderId="19" xfId="0" applyFont="1" applyBorder="1" applyAlignment="1">
      <alignment horizontal="justify" vertical="top" wrapText="1"/>
    </xf>
    <xf numFmtId="0" fontId="85" fillId="0" borderId="24" xfId="0" applyFont="1" applyBorder="1" applyAlignment="1">
      <alignment horizontal="justify" vertical="top" wrapText="1"/>
    </xf>
    <xf numFmtId="0" fontId="85" fillId="0" borderId="21" xfId="0" applyFont="1" applyBorder="1" applyAlignment="1">
      <alignment horizontal="justify" vertical="top" wrapText="1"/>
    </xf>
    <xf numFmtId="0" fontId="86" fillId="0" borderId="0" xfId="0" applyFont="1" applyAlignment="1">
      <alignment horizontal="center" vertical="center" wrapText="1"/>
    </xf>
    <xf numFmtId="0" fontId="84" fillId="21" borderId="48" xfId="0" applyFont="1" applyFill="1" applyBorder="1" applyAlignment="1">
      <alignment horizontal="left" vertical="top"/>
    </xf>
    <xf numFmtId="0" fontId="84" fillId="21" borderId="24" xfId="0" applyFont="1" applyFill="1" applyBorder="1" applyAlignment="1">
      <alignment horizontal="left" vertical="top"/>
    </xf>
    <xf numFmtId="166" fontId="84" fillId="21" borderId="24" xfId="0" applyNumberFormat="1" applyFont="1" applyFill="1" applyBorder="1" applyAlignment="1">
      <alignment horizontal="left" vertical="top"/>
    </xf>
    <xf numFmtId="0" fontId="84" fillId="0" borderId="14" xfId="0" applyFont="1" applyBorder="1" applyAlignment="1">
      <alignment horizontal="center" vertical="center" textRotation="90" wrapText="1"/>
    </xf>
    <xf numFmtId="0" fontId="85" fillId="0" borderId="15" xfId="0" applyFont="1" applyBorder="1" applyAlignment="1">
      <alignment horizontal="left" vertical="top" wrapText="1"/>
    </xf>
    <xf numFmtId="0" fontId="85" fillId="0" borderId="35" xfId="0" applyFont="1" applyBorder="1" applyAlignment="1">
      <alignment horizontal="left" vertical="top" wrapText="1"/>
    </xf>
    <xf numFmtId="0" fontId="85" fillId="0" borderId="17" xfId="0" applyFont="1" applyBorder="1" applyAlignment="1">
      <alignment horizontal="left" vertical="top" wrapText="1"/>
    </xf>
    <xf numFmtId="0" fontId="84" fillId="0" borderId="15" xfId="0" applyFont="1" applyBorder="1" applyAlignment="1">
      <alignment horizontal="left" vertical="top" wrapText="1"/>
    </xf>
    <xf numFmtId="0" fontId="84" fillId="0" borderId="35" xfId="0" applyFont="1" applyBorder="1" applyAlignment="1">
      <alignment horizontal="left" vertical="top" wrapText="1"/>
    </xf>
    <xf numFmtId="0" fontId="84" fillId="0" borderId="104" xfId="0" applyFont="1" applyBorder="1" applyAlignment="1">
      <alignment horizontal="left" vertical="top" wrapText="1"/>
    </xf>
    <xf numFmtId="0" fontId="84" fillId="0" borderId="17" xfId="0" applyFont="1" applyBorder="1" applyAlignment="1">
      <alignment horizontal="left" vertical="top" wrapText="1"/>
    </xf>
    <xf numFmtId="10" fontId="84" fillId="21" borderId="19" xfId="22" applyNumberFormat="1" applyFont="1" applyFill="1" applyBorder="1" applyAlignment="1">
      <alignment horizontal="left" vertical="top"/>
    </xf>
    <xf numFmtId="10" fontId="84" fillId="21" borderId="24" xfId="22" applyNumberFormat="1" applyFont="1" applyFill="1" applyBorder="1" applyAlignment="1">
      <alignment horizontal="left" vertical="top"/>
    </xf>
    <xf numFmtId="10" fontId="84" fillId="21" borderId="21" xfId="22" applyNumberFormat="1" applyFont="1" applyFill="1" applyBorder="1" applyAlignment="1">
      <alignment horizontal="left" vertical="top"/>
    </xf>
    <xf numFmtId="0" fontId="73" fillId="0" borderId="19" xfId="0" applyFont="1" applyBorder="1" applyAlignment="1">
      <alignment horizontal="left" vertical="top"/>
    </xf>
    <xf numFmtId="0" fontId="73" fillId="0" borderId="24" xfId="0" applyFont="1" applyBorder="1" applyAlignment="1">
      <alignment horizontal="left" vertical="top"/>
    </xf>
    <xf numFmtId="0" fontId="73" fillId="0" borderId="21" xfId="0" applyFont="1" applyBorder="1" applyAlignment="1">
      <alignment horizontal="left" vertical="top"/>
    </xf>
    <xf numFmtId="0" fontId="84" fillId="17" borderId="15" xfId="0" applyFont="1" applyFill="1" applyBorder="1" applyAlignment="1">
      <alignment horizontal="left" vertical="top" wrapText="1"/>
    </xf>
    <xf numFmtId="0" fontId="84" fillId="17" borderId="35" xfId="0" applyFont="1" applyFill="1" applyBorder="1" applyAlignment="1">
      <alignment horizontal="left" vertical="top" wrapText="1"/>
    </xf>
    <xf numFmtId="0" fontId="84" fillId="17" borderId="17" xfId="0" applyFont="1" applyFill="1" applyBorder="1" applyAlignment="1">
      <alignment horizontal="left" vertical="top" wrapText="1"/>
    </xf>
    <xf numFmtId="0" fontId="85" fillId="28" borderId="15" xfId="0" applyFont="1" applyFill="1" applyBorder="1" applyAlignment="1">
      <alignment horizontal="left" vertical="top"/>
    </xf>
    <xf numFmtId="0" fontId="85" fillId="28" borderId="35" xfId="0" applyFont="1" applyFill="1" applyBorder="1" applyAlignment="1">
      <alignment horizontal="left" vertical="top"/>
    </xf>
    <xf numFmtId="0" fontId="85" fillId="28" borderId="17" xfId="0" applyFont="1" applyFill="1" applyBorder="1" applyAlignment="1">
      <alignment horizontal="left" vertical="top"/>
    </xf>
    <xf numFmtId="49" fontId="84" fillId="28" borderId="14" xfId="0" applyNumberFormat="1" applyFont="1" applyFill="1" applyBorder="1" applyAlignment="1">
      <alignment horizontal="left" vertical="top" wrapText="1"/>
    </xf>
    <xf numFmtId="0" fontId="73" fillId="0" borderId="24" xfId="0" applyFont="1" applyBorder="1" applyAlignment="1">
      <alignment horizontal="left" vertical="top" wrapText="1"/>
    </xf>
    <xf numFmtId="49" fontId="84" fillId="28" borderId="65" xfId="0" applyNumberFormat="1" applyFont="1" applyFill="1" applyBorder="1" applyAlignment="1">
      <alignment horizontal="left" vertical="top" wrapText="1"/>
    </xf>
    <xf numFmtId="49" fontId="84" fillId="28" borderId="0" xfId="0" applyNumberFormat="1" applyFont="1" applyFill="1" applyAlignment="1">
      <alignment horizontal="left" vertical="top" wrapText="1"/>
    </xf>
    <xf numFmtId="49" fontId="84" fillId="28" borderId="57" xfId="0" applyNumberFormat="1" applyFont="1" applyFill="1" applyBorder="1" applyAlignment="1">
      <alignment horizontal="left" vertical="top" wrapText="1"/>
    </xf>
    <xf numFmtId="49" fontId="119" fillId="29" borderId="19" xfId="0" applyNumberFormat="1" applyFont="1" applyFill="1" applyBorder="1" applyAlignment="1">
      <alignment horizontal="left" vertical="top" wrapText="1"/>
    </xf>
    <xf numFmtId="49" fontId="119" fillId="29" borderId="24" xfId="0" applyNumberFormat="1" applyFont="1" applyFill="1" applyBorder="1" applyAlignment="1">
      <alignment horizontal="left" vertical="top" wrapText="1"/>
    </xf>
    <xf numFmtId="49" fontId="119" fillId="29" borderId="21" xfId="0" applyNumberFormat="1" applyFont="1" applyFill="1" applyBorder="1" applyAlignment="1">
      <alignment horizontal="left" vertical="top" wrapText="1"/>
    </xf>
    <xf numFmtId="0" fontId="134" fillId="29" borderId="19" xfId="0" quotePrefix="1" applyFont="1" applyFill="1" applyBorder="1" applyAlignment="1">
      <alignment horizontal="left" vertical="top" wrapText="1"/>
    </xf>
    <xf numFmtId="0" fontId="134" fillId="29" borderId="21" xfId="0" quotePrefix="1" applyFont="1" applyFill="1" applyBorder="1" applyAlignment="1">
      <alignment horizontal="left" vertical="top" wrapText="1"/>
    </xf>
    <xf numFmtId="49" fontId="84" fillId="0" borderId="6" xfId="0" applyNumberFormat="1" applyFont="1" applyBorder="1" applyAlignment="1">
      <alignment horizontal="left" vertical="top"/>
    </xf>
    <xf numFmtId="0" fontId="104" fillId="0" borderId="6" xfId="0" applyFont="1" applyBorder="1" applyAlignment="1">
      <alignment horizontal="left" vertical="top" wrapText="1"/>
    </xf>
    <xf numFmtId="166" fontId="85" fillId="33" borderId="19" xfId="0" applyNumberFormat="1" applyFont="1" applyFill="1" applyBorder="1" applyAlignment="1">
      <alignment horizontal="justify" vertical="top" wrapText="1"/>
    </xf>
    <xf numFmtId="166" fontId="85" fillId="33" borderId="24" xfId="0" applyNumberFormat="1" applyFont="1" applyFill="1" applyBorder="1" applyAlignment="1">
      <alignment horizontal="justify" vertical="top"/>
    </xf>
    <xf numFmtId="166" fontId="85" fillId="33" borderId="21" xfId="0" applyNumberFormat="1" applyFont="1" applyFill="1" applyBorder="1" applyAlignment="1">
      <alignment horizontal="justify" vertical="top"/>
    </xf>
    <xf numFmtId="166" fontId="101" fillId="0" borderId="19" xfId="0" applyNumberFormat="1" applyFont="1" applyBorder="1" applyAlignment="1">
      <alignment horizontal="justify" vertical="top" wrapText="1"/>
    </xf>
    <xf numFmtId="166" fontId="101" fillId="0" borderId="21" xfId="0" applyNumberFormat="1" applyFont="1" applyBorder="1" applyAlignment="1">
      <alignment horizontal="justify" vertical="top"/>
    </xf>
    <xf numFmtId="49" fontId="84" fillId="0" borderId="9" xfId="0" applyNumberFormat="1" applyFont="1" applyBorder="1" applyAlignment="1">
      <alignment horizontal="left" vertical="top"/>
    </xf>
    <xf numFmtId="49" fontId="104" fillId="0" borderId="6" xfId="0" applyNumberFormat="1" applyFont="1" applyBorder="1" applyAlignment="1">
      <alignment horizontal="left" vertical="top"/>
    </xf>
    <xf numFmtId="0" fontId="105" fillId="0" borderId="6" xfId="0" applyFont="1" applyBorder="1" applyAlignment="1">
      <alignment horizontal="left" vertical="top" textRotation="90" wrapText="1"/>
    </xf>
    <xf numFmtId="0" fontId="134" fillId="29" borderId="48" xfId="0" applyFont="1" applyFill="1" applyBorder="1" applyAlignment="1">
      <alignment horizontal="left" vertical="top" wrapText="1"/>
    </xf>
    <xf numFmtId="0" fontId="134" fillId="29" borderId="21" xfId="0" applyFont="1" applyFill="1" applyBorder="1" applyAlignment="1">
      <alignment horizontal="left" vertical="top" wrapText="1"/>
    </xf>
    <xf numFmtId="0" fontId="134" fillId="29" borderId="19" xfId="0" applyFont="1" applyFill="1" applyBorder="1" applyAlignment="1">
      <alignment horizontal="left" vertical="top" wrapText="1"/>
    </xf>
    <xf numFmtId="0" fontId="134" fillId="29" borderId="24" xfId="0" applyFont="1" applyFill="1" applyBorder="1" applyAlignment="1">
      <alignment horizontal="left" vertical="top" wrapText="1"/>
    </xf>
    <xf numFmtId="49" fontId="84" fillId="0" borderId="100" xfId="0" applyNumberFormat="1" applyFont="1" applyBorder="1" applyAlignment="1">
      <alignment horizontal="left" vertical="top" wrapText="1"/>
    </xf>
    <xf numFmtId="166" fontId="116" fillId="29" borderId="14" xfId="0" applyNumberFormat="1" applyFont="1" applyFill="1" applyBorder="1" applyAlignment="1">
      <alignment horizontal="justify" vertical="top"/>
    </xf>
    <xf numFmtId="49" fontId="119" fillId="29" borderId="14" xfId="0" applyNumberFormat="1" applyFont="1" applyFill="1" applyBorder="1" applyAlignment="1">
      <alignment horizontal="left" vertical="top" wrapText="1"/>
    </xf>
    <xf numFmtId="49" fontId="86" fillId="29" borderId="14" xfId="0" applyNumberFormat="1" applyFont="1" applyFill="1" applyBorder="1" applyAlignment="1">
      <alignment horizontal="left" vertical="top"/>
    </xf>
    <xf numFmtId="166" fontId="84" fillId="0" borderId="32" xfId="0" applyNumberFormat="1" applyFont="1" applyBorder="1" applyAlignment="1">
      <alignment horizontal="left" vertical="top"/>
    </xf>
    <xf numFmtId="166" fontId="84" fillId="0" borderId="33" xfId="0" applyNumberFormat="1" applyFont="1" applyBorder="1" applyAlignment="1">
      <alignment horizontal="left" vertical="top"/>
    </xf>
    <xf numFmtId="0" fontId="85" fillId="29" borderId="15" xfId="0" applyFont="1" applyFill="1" applyBorder="1" applyAlignment="1">
      <alignment horizontal="left" vertical="top" wrapText="1"/>
    </xf>
    <xf numFmtId="0" fontId="85" fillId="29" borderId="35" xfId="0" applyFont="1" applyFill="1" applyBorder="1" applyAlignment="1">
      <alignment horizontal="left" vertical="top" wrapText="1"/>
    </xf>
    <xf numFmtId="0" fontId="85" fillId="29" borderId="17" xfId="0" applyFont="1" applyFill="1" applyBorder="1" applyAlignment="1">
      <alignment horizontal="left" vertical="top" wrapText="1"/>
    </xf>
    <xf numFmtId="49" fontId="84" fillId="0" borderId="9" xfId="0" applyNumberFormat="1" applyFont="1" applyBorder="1" applyAlignment="1">
      <alignment horizontal="left" vertical="top" wrapText="1"/>
    </xf>
    <xf numFmtId="49" fontId="84" fillId="0" borderId="6" xfId="0" applyNumberFormat="1" applyFont="1" applyBorder="1" applyAlignment="1">
      <alignment horizontal="left" vertical="top" wrapText="1"/>
    </xf>
    <xf numFmtId="0" fontId="116" fillId="29" borderId="66" xfId="0" applyFont="1" applyFill="1" applyBorder="1" applyAlignment="1">
      <alignment horizontal="left" vertical="top" wrapText="1"/>
    </xf>
    <xf numFmtId="0" fontId="116" fillId="29" borderId="95" xfId="0" applyFont="1" applyFill="1" applyBorder="1" applyAlignment="1">
      <alignment horizontal="left" vertical="top" wrapText="1"/>
    </xf>
    <xf numFmtId="0" fontId="116" fillId="29" borderId="58" xfId="0" applyFont="1" applyFill="1" applyBorder="1" applyAlignment="1">
      <alignment horizontal="left" vertical="top" textRotation="90" wrapText="1"/>
    </xf>
    <xf numFmtId="0" fontId="116" fillId="29" borderId="9" xfId="0" applyFont="1" applyFill="1" applyBorder="1" applyAlignment="1">
      <alignment horizontal="left" vertical="top" textRotation="90" wrapText="1"/>
    </xf>
    <xf numFmtId="0" fontId="116" fillId="29" borderId="96" xfId="0" applyFont="1" applyFill="1" applyBorder="1" applyAlignment="1">
      <alignment horizontal="left" vertical="top" wrapText="1"/>
    </xf>
    <xf numFmtId="0" fontId="116" fillId="29" borderId="7" xfId="0" applyFont="1" applyFill="1" applyBorder="1" applyAlignment="1">
      <alignment horizontal="left" vertical="top" textRotation="90" wrapText="1"/>
    </xf>
    <xf numFmtId="166" fontId="84" fillId="0" borderId="57" xfId="0" applyNumberFormat="1" applyFont="1" applyBorder="1" applyAlignment="1">
      <alignment horizontal="left" vertical="top"/>
    </xf>
    <xf numFmtId="0" fontId="105" fillId="0" borderId="7" xfId="0" applyFont="1" applyBorder="1" applyAlignment="1">
      <alignment horizontal="left" vertical="top" textRotation="90" wrapText="1"/>
    </xf>
    <xf numFmtId="0" fontId="84" fillId="4" borderId="15" xfId="0" applyFont="1" applyFill="1" applyBorder="1" applyAlignment="1">
      <alignment horizontal="left" vertical="top" wrapText="1"/>
    </xf>
    <xf numFmtId="0" fontId="84" fillId="4" borderId="35" xfId="0" applyFont="1" applyFill="1" applyBorder="1" applyAlignment="1">
      <alignment horizontal="left" vertical="top" wrapText="1"/>
    </xf>
    <xf numFmtId="0" fontId="84" fillId="4" borderId="17" xfId="0" applyFont="1" applyFill="1" applyBorder="1" applyAlignment="1">
      <alignment horizontal="left" vertical="top" wrapText="1"/>
    </xf>
    <xf numFmtId="0" fontId="84" fillId="0" borderId="15" xfId="0" applyFont="1" applyBorder="1" applyAlignment="1">
      <alignment horizontal="left" vertical="center" wrapText="1"/>
    </xf>
    <xf numFmtId="0" fontId="84" fillId="0" borderId="35" xfId="0" applyFont="1" applyBorder="1" applyAlignment="1">
      <alignment horizontal="left" vertical="center" wrapText="1"/>
    </xf>
    <xf numFmtId="0" fontId="84" fillId="0" borderId="17" xfId="0" applyFont="1" applyBorder="1" applyAlignment="1">
      <alignment horizontal="left" vertical="center" wrapText="1"/>
    </xf>
    <xf numFmtId="49" fontId="85" fillId="0" borderId="31" xfId="0" applyNumberFormat="1" applyFont="1" applyBorder="1" applyAlignment="1">
      <alignment horizontal="left" vertical="top" wrapText="1"/>
    </xf>
    <xf numFmtId="49" fontId="85" fillId="0" borderId="37" xfId="0" applyNumberFormat="1" applyFont="1" applyBorder="1" applyAlignment="1">
      <alignment horizontal="left" vertical="top" wrapText="1"/>
    </xf>
    <xf numFmtId="49" fontId="85" fillId="0" borderId="65" xfId="0" applyNumberFormat="1" applyFont="1" applyBorder="1" applyAlignment="1">
      <alignment horizontal="left" vertical="top" wrapText="1"/>
    </xf>
    <xf numFmtId="166" fontId="101" fillId="28" borderId="15" xfId="0" applyNumberFormat="1" applyFont="1" applyFill="1" applyBorder="1" applyAlignment="1">
      <alignment horizontal="left" vertical="top"/>
    </xf>
    <xf numFmtId="166" fontId="101" fillId="28" borderId="35" xfId="0" applyNumberFormat="1" applyFont="1" applyFill="1" applyBorder="1" applyAlignment="1">
      <alignment horizontal="left" vertical="top"/>
    </xf>
    <xf numFmtId="166" fontId="101" fillId="28" borderId="17" xfId="0" applyNumberFormat="1" applyFont="1" applyFill="1" applyBorder="1" applyAlignment="1">
      <alignment horizontal="left" vertical="top"/>
    </xf>
    <xf numFmtId="0" fontId="86" fillId="0" borderId="0" xfId="0" applyFont="1" applyAlignment="1">
      <alignment horizontal="center" vertical="center"/>
    </xf>
    <xf numFmtId="0" fontId="85" fillId="17" borderId="31" xfId="0" applyFont="1" applyFill="1" applyBorder="1" applyAlignment="1">
      <alignment horizontal="left" vertical="top"/>
    </xf>
    <xf numFmtId="166" fontId="101" fillId="0" borderId="24" xfId="0" applyNumberFormat="1" applyFont="1" applyBorder="1" applyAlignment="1">
      <alignment horizontal="justify" vertical="top" wrapText="1"/>
    </xf>
    <xf numFmtId="0" fontId="84" fillId="4" borderId="14" xfId="0" applyFont="1" applyFill="1" applyBorder="1" applyAlignment="1">
      <alignment horizontal="left" vertical="center" wrapText="1"/>
    </xf>
    <xf numFmtId="49" fontId="101" fillId="0" borderId="14" xfId="0" applyNumberFormat="1" applyFont="1" applyBorder="1" applyAlignment="1">
      <alignment horizontal="left" vertical="top" wrapText="1"/>
    </xf>
    <xf numFmtId="0" fontId="103" fillId="0" borderId="24" xfId="0" applyFont="1" applyBorder="1" applyAlignment="1">
      <alignment horizontal="center" vertical="center" wrapText="1"/>
    </xf>
    <xf numFmtId="0" fontId="84" fillId="0" borderId="101" xfId="0" applyFont="1" applyBorder="1" applyAlignment="1">
      <alignment horizontal="center" vertical="center" textRotation="90" wrapText="1"/>
    </xf>
    <xf numFmtId="0" fontId="84" fillId="0" borderId="65" xfId="0" applyFont="1" applyBorder="1" applyAlignment="1">
      <alignment horizontal="center" vertical="center" textRotation="90" wrapText="1"/>
    </xf>
    <xf numFmtId="0" fontId="84" fillId="21" borderId="14" xfId="0" applyFont="1" applyFill="1" applyBorder="1" applyAlignment="1">
      <alignment horizontal="left" vertical="top"/>
    </xf>
    <xf numFmtId="0" fontId="116" fillId="0" borderId="15" xfId="0" applyFont="1" applyBorder="1" applyAlignment="1">
      <alignment horizontal="left" vertical="top" wrapText="1"/>
    </xf>
    <xf numFmtId="0" fontId="116" fillId="0" borderId="35" xfId="0" applyFont="1" applyBorder="1" applyAlignment="1">
      <alignment horizontal="left" vertical="top" wrapText="1"/>
    </xf>
    <xf numFmtId="0" fontId="116" fillId="0" borderId="17" xfId="0" applyFont="1" applyBorder="1" applyAlignment="1">
      <alignment horizontal="left" vertical="top" wrapText="1"/>
    </xf>
    <xf numFmtId="49" fontId="84" fillId="28" borderId="21" xfId="0" applyNumberFormat="1" applyFont="1" applyFill="1" applyBorder="1" applyAlignment="1">
      <alignment horizontal="left" vertical="top" wrapText="1"/>
    </xf>
    <xf numFmtId="166" fontId="107" fillId="0" borderId="19" xfId="0" applyNumberFormat="1" applyFont="1" applyBorder="1" applyAlignment="1">
      <alignment horizontal="justify" vertical="top" wrapText="1"/>
    </xf>
    <xf numFmtId="166" fontId="114" fillId="0" borderId="21" xfId="0" applyNumberFormat="1" applyFont="1" applyBorder="1" applyAlignment="1">
      <alignment horizontal="justify" vertical="top"/>
    </xf>
    <xf numFmtId="166" fontId="107" fillId="0" borderId="21" xfId="0" applyNumberFormat="1" applyFont="1" applyBorder="1" applyAlignment="1">
      <alignment horizontal="justify" vertical="top"/>
    </xf>
    <xf numFmtId="0" fontId="85" fillId="0" borderId="0" xfId="0" applyFont="1" applyAlignment="1">
      <alignment vertical="top" wrapText="1"/>
    </xf>
    <xf numFmtId="49" fontId="84" fillId="25" borderId="14" xfId="0" applyNumberFormat="1" applyFont="1" applyFill="1" applyBorder="1" applyAlignment="1">
      <alignment horizontal="left" vertical="top"/>
    </xf>
    <xf numFmtId="0" fontId="85" fillId="0" borderId="0" xfId="0" applyFont="1" applyAlignment="1">
      <alignment horizontal="left" vertical="top"/>
    </xf>
    <xf numFmtId="0" fontId="85" fillId="25" borderId="14" xfId="0" applyFont="1" applyFill="1" applyBorder="1" applyAlignment="1">
      <alignment horizontal="left" vertical="top" wrapText="1"/>
    </xf>
    <xf numFmtId="0" fontId="84" fillId="28" borderId="14" xfId="0" applyFont="1" applyFill="1" applyBorder="1" applyAlignment="1">
      <alignment horizontal="left" vertical="top"/>
    </xf>
    <xf numFmtId="166" fontId="114" fillId="0" borderId="14" xfId="0" applyNumberFormat="1" applyFont="1" applyBorder="1" applyAlignment="1">
      <alignment horizontal="justify" vertical="top"/>
    </xf>
    <xf numFmtId="0" fontId="72" fillId="0" borderId="0" xfId="0" applyFont="1" applyAlignment="1">
      <alignment vertical="top"/>
    </xf>
    <xf numFmtId="49" fontId="107" fillId="34" borderId="14" xfId="0" applyNumberFormat="1" applyFont="1" applyFill="1" applyBorder="1" applyAlignment="1">
      <alignment horizontal="left" vertical="top" wrapText="1"/>
    </xf>
    <xf numFmtId="0" fontId="84" fillId="0" borderId="7" xfId="0" applyFont="1" applyBorder="1" applyAlignment="1">
      <alignment horizontal="center" vertical="center" textRotation="90" wrapText="1"/>
    </xf>
    <xf numFmtId="166" fontId="107" fillId="0" borderId="21" xfId="0" applyNumberFormat="1" applyFont="1" applyBorder="1" applyAlignment="1">
      <alignment horizontal="justify" vertical="top" wrapText="1"/>
    </xf>
    <xf numFmtId="0" fontId="84" fillId="0" borderId="0" xfId="0" applyFont="1" applyAlignment="1">
      <alignment horizontal="center" vertical="center" wrapText="1"/>
    </xf>
    <xf numFmtId="0" fontId="84" fillId="0" borderId="57" xfId="0" applyFont="1" applyBorder="1" applyAlignment="1">
      <alignment horizontal="center" vertical="center" wrapText="1"/>
    </xf>
    <xf numFmtId="0" fontId="84" fillId="0" borderId="36" xfId="0" applyFont="1" applyBorder="1" applyAlignment="1">
      <alignment horizontal="left" vertical="center" wrapText="1"/>
    </xf>
    <xf numFmtId="0" fontId="84" fillId="0" borderId="0" xfId="0" applyFont="1" applyAlignment="1">
      <alignment horizontal="left" vertical="center" wrapText="1"/>
    </xf>
    <xf numFmtId="0" fontId="84" fillId="0" borderId="65" xfId="0" applyFont="1" applyBorder="1" applyAlignment="1">
      <alignment horizontal="left" vertical="center" wrapText="1"/>
    </xf>
    <xf numFmtId="0" fontId="84" fillId="0" borderId="34" xfId="0" applyFont="1" applyBorder="1" applyAlignment="1">
      <alignment horizontal="center" vertical="center" textRotation="90" wrapText="1"/>
    </xf>
    <xf numFmtId="0" fontId="84" fillId="0" borderId="54" xfId="0" applyFont="1" applyBorder="1" applyAlignment="1">
      <alignment horizontal="center" vertical="center" textRotation="90" wrapText="1"/>
    </xf>
    <xf numFmtId="0" fontId="84" fillId="0" borderId="24" xfId="0" applyFont="1" applyBorder="1" applyAlignment="1">
      <alignment horizontal="left" vertical="center" wrapText="1"/>
    </xf>
    <xf numFmtId="49" fontId="85" fillId="0" borderId="57" xfId="0" applyNumberFormat="1" applyFont="1" applyBorder="1" applyAlignment="1">
      <alignment horizontal="left" vertical="top" wrapText="1"/>
    </xf>
    <xf numFmtId="49" fontId="85" fillId="0" borderId="33" xfId="0" applyNumberFormat="1" applyFont="1" applyBorder="1" applyAlignment="1">
      <alignment horizontal="left" vertical="top" wrapText="1"/>
    </xf>
    <xf numFmtId="49" fontId="85" fillId="0" borderId="32" xfId="0" applyNumberFormat="1" applyFont="1" applyBorder="1" applyAlignment="1">
      <alignment horizontal="left" vertical="top" wrapText="1"/>
    </xf>
    <xf numFmtId="0" fontId="85" fillId="0" borderId="31" xfId="0" applyFont="1" applyBorder="1" applyAlignment="1">
      <alignment horizontal="left" vertical="top" wrapText="1"/>
    </xf>
    <xf numFmtId="0" fontId="85" fillId="0" borderId="32" xfId="0" applyFont="1" applyBorder="1" applyAlignment="1">
      <alignment horizontal="left" vertical="top" wrapText="1"/>
    </xf>
    <xf numFmtId="0" fontId="85" fillId="0" borderId="65" xfId="0" applyFont="1" applyBorder="1" applyAlignment="1">
      <alignment horizontal="left" vertical="top" wrapText="1"/>
    </xf>
    <xf numFmtId="0" fontId="85" fillId="0" borderId="57" xfId="0" applyFont="1" applyBorder="1" applyAlignment="1">
      <alignment horizontal="left" vertical="top" wrapText="1"/>
    </xf>
    <xf numFmtId="0" fontId="85" fillId="0" borderId="37" xfId="0" applyFont="1" applyBorder="1" applyAlignment="1">
      <alignment horizontal="left" vertical="top" wrapText="1"/>
    </xf>
    <xf numFmtId="0" fontId="85" fillId="0" borderId="33" xfId="0" applyFont="1" applyBorder="1" applyAlignment="1">
      <alignment horizontal="left" vertical="top" wrapText="1"/>
    </xf>
    <xf numFmtId="0" fontId="85" fillId="0" borderId="31" xfId="0" applyFont="1" applyBorder="1" applyAlignment="1">
      <alignment horizontal="left" vertical="top"/>
    </xf>
    <xf numFmtId="0" fontId="85" fillId="0" borderId="32" xfId="0" applyFont="1" applyBorder="1" applyAlignment="1">
      <alignment horizontal="left" vertical="top"/>
    </xf>
    <xf numFmtId="0" fontId="85" fillId="0" borderId="65" xfId="0" applyFont="1" applyBorder="1" applyAlignment="1">
      <alignment horizontal="left" vertical="top"/>
    </xf>
    <xf numFmtId="0" fontId="85" fillId="0" borderId="57" xfId="0" applyFont="1" applyBorder="1" applyAlignment="1">
      <alignment horizontal="left" vertical="top"/>
    </xf>
    <xf numFmtId="0" fontId="85" fillId="0" borderId="37" xfId="0" applyFont="1" applyBorder="1" applyAlignment="1">
      <alignment horizontal="left" vertical="top"/>
    </xf>
    <xf numFmtId="0" fontId="85" fillId="0" borderId="33" xfId="0" applyFont="1" applyBorder="1" applyAlignment="1">
      <alignment horizontal="left" vertical="top"/>
    </xf>
    <xf numFmtId="2" fontId="85" fillId="29" borderId="19" xfId="0" applyNumberFormat="1" applyFont="1" applyFill="1" applyBorder="1" applyAlignment="1">
      <alignment horizontal="left" vertical="top" wrapText="1"/>
    </xf>
    <xf numFmtId="2" fontId="85" fillId="29" borderId="24" xfId="0" applyNumberFormat="1" applyFont="1" applyFill="1" applyBorder="1" applyAlignment="1">
      <alignment horizontal="left" vertical="top" wrapText="1"/>
    </xf>
    <xf numFmtId="2" fontId="85" fillId="29" borderId="21" xfId="0" applyNumberFormat="1" applyFont="1" applyFill="1" applyBorder="1" applyAlignment="1">
      <alignment horizontal="left" vertical="top" wrapText="1"/>
    </xf>
    <xf numFmtId="2" fontId="85" fillId="29" borderId="14" xfId="0" applyNumberFormat="1" applyFont="1" applyFill="1" applyBorder="1" applyAlignment="1">
      <alignment horizontal="left" vertical="top" wrapText="1"/>
    </xf>
    <xf numFmtId="2" fontId="85" fillId="0" borderId="14" xfId="0" applyNumberFormat="1" applyFont="1" applyBorder="1" applyAlignment="1">
      <alignment horizontal="left" vertical="top" wrapText="1"/>
    </xf>
    <xf numFmtId="2" fontId="85" fillId="29" borderId="21" xfId="0" applyNumberFormat="1" applyFont="1" applyFill="1" applyBorder="1" applyAlignment="1">
      <alignment horizontal="justify" vertical="top" wrapText="1"/>
    </xf>
    <xf numFmtId="2" fontId="85" fillId="29" borderId="14" xfId="0" applyNumberFormat="1" applyFont="1" applyFill="1" applyBorder="1" applyAlignment="1">
      <alignment horizontal="justify" vertical="top"/>
    </xf>
    <xf numFmtId="2" fontId="84" fillId="29" borderId="21" xfId="0" applyNumberFormat="1" applyFont="1" applyFill="1" applyBorder="1" applyAlignment="1">
      <alignment horizontal="left" vertical="top" wrapText="1"/>
    </xf>
    <xf numFmtId="2" fontId="84" fillId="29" borderId="14" xfId="0" applyNumberFormat="1" applyFont="1" applyFill="1" applyBorder="1" applyAlignment="1">
      <alignment horizontal="left" vertical="top" wrapText="1"/>
    </xf>
    <xf numFmtId="49" fontId="84" fillId="0" borderId="31" xfId="0" applyNumberFormat="1" applyFont="1" applyBorder="1" applyAlignment="1">
      <alignment horizontal="left" vertical="top" wrapText="1"/>
    </xf>
    <xf numFmtId="49" fontId="84" fillId="0" borderId="32" xfId="0" applyNumberFormat="1" applyFont="1" applyBorder="1" applyAlignment="1">
      <alignment horizontal="left" vertical="top" wrapText="1"/>
    </xf>
    <xf numFmtId="49" fontId="84" fillId="0" borderId="37" xfId="0" applyNumberFormat="1" applyFont="1" applyBorder="1" applyAlignment="1">
      <alignment horizontal="left" vertical="top" wrapText="1"/>
    </xf>
    <xf numFmtId="49" fontId="84" fillId="0" borderId="33" xfId="0" applyNumberFormat="1" applyFont="1" applyBorder="1" applyAlignment="1">
      <alignment horizontal="left" vertical="top" wrapText="1"/>
    </xf>
    <xf numFmtId="1" fontId="85" fillId="29" borderId="21" xfId="0" applyNumberFormat="1" applyFont="1" applyFill="1" applyBorder="1" applyAlignment="1">
      <alignment horizontal="left" vertical="top" wrapText="1"/>
    </xf>
    <xf numFmtId="1" fontId="85" fillId="29" borderId="14" xfId="0" applyNumberFormat="1" applyFont="1" applyFill="1" applyBorder="1" applyAlignment="1">
      <alignment horizontal="left" vertical="top" wrapText="1"/>
    </xf>
    <xf numFmtId="1" fontId="85" fillId="29" borderId="19" xfId="0" applyNumberFormat="1" applyFont="1" applyFill="1" applyBorder="1" applyAlignment="1">
      <alignment horizontal="left" vertical="top" wrapText="1"/>
    </xf>
    <xf numFmtId="1" fontId="85" fillId="29" borderId="24" xfId="0" applyNumberFormat="1" applyFont="1" applyFill="1" applyBorder="1" applyAlignment="1">
      <alignment horizontal="left" vertical="top" wrapText="1"/>
    </xf>
    <xf numFmtId="166" fontId="85" fillId="29" borderId="21" xfId="0" applyNumberFormat="1" applyFont="1" applyFill="1" applyBorder="1" applyAlignment="1">
      <alignment horizontal="justify" vertical="top" wrapText="1"/>
    </xf>
    <xf numFmtId="49" fontId="85" fillId="29" borderId="9" xfId="0" applyNumberFormat="1" applyFont="1" applyFill="1" applyBorder="1" applyAlignment="1">
      <alignment horizontal="left" vertical="top"/>
    </xf>
    <xf numFmtId="49" fontId="85" fillId="29" borderId="6" xfId="0" applyNumberFormat="1" applyFont="1" applyFill="1" applyBorder="1" applyAlignment="1">
      <alignment horizontal="left" vertical="top"/>
    </xf>
    <xf numFmtId="49" fontId="84" fillId="29" borderId="21" xfId="0" applyNumberFormat="1" applyFont="1" applyFill="1" applyBorder="1" applyAlignment="1">
      <alignment horizontal="left" vertical="top" wrapText="1"/>
    </xf>
    <xf numFmtId="0" fontId="85" fillId="30" borderId="6" xfId="0" applyFont="1" applyFill="1" applyBorder="1" applyAlignment="1">
      <alignment horizontal="left" vertical="top" wrapText="1"/>
    </xf>
    <xf numFmtId="0" fontId="85" fillId="30" borderId="8" xfId="0" applyFont="1" applyFill="1" applyBorder="1" applyAlignment="1">
      <alignment horizontal="left" vertical="top" textRotation="90" wrapText="1"/>
    </xf>
    <xf numFmtId="0" fontId="85" fillId="30" borderId="6" xfId="0" applyFont="1" applyFill="1" applyBorder="1" applyAlignment="1">
      <alignment horizontal="left" vertical="top" textRotation="90" wrapText="1"/>
    </xf>
    <xf numFmtId="0" fontId="85" fillId="26" borderId="8" xfId="0" applyFont="1" applyFill="1" applyBorder="1" applyAlignment="1">
      <alignment horizontal="left" vertical="top" textRotation="90" wrapText="1"/>
    </xf>
    <xf numFmtId="0" fontId="85" fillId="26" borderId="6" xfId="0" applyFont="1" applyFill="1" applyBorder="1" applyAlignment="1">
      <alignment horizontal="left" vertical="top" textRotation="90" wrapText="1"/>
    </xf>
    <xf numFmtId="0" fontId="85" fillId="26" borderId="6" xfId="0" applyFont="1" applyFill="1" applyBorder="1" applyAlignment="1">
      <alignment horizontal="left" vertical="top" wrapText="1"/>
    </xf>
    <xf numFmtId="166" fontId="85" fillId="29" borderId="19" xfId="0" applyNumberFormat="1" applyFont="1" applyFill="1" applyBorder="1" applyAlignment="1">
      <alignment horizontal="justify" vertical="top" wrapText="1"/>
    </xf>
    <xf numFmtId="166" fontId="85" fillId="29" borderId="24" xfId="0" applyNumberFormat="1" applyFont="1" applyFill="1" applyBorder="1" applyAlignment="1">
      <alignment horizontal="justify" vertical="top" wrapText="1"/>
    </xf>
    <xf numFmtId="166" fontId="85" fillId="29" borderId="21" xfId="0" applyNumberFormat="1" applyFont="1" applyFill="1" applyBorder="1" applyAlignment="1">
      <alignment horizontal="justify" vertical="top"/>
    </xf>
    <xf numFmtId="49" fontId="85" fillId="29" borderId="21" xfId="0" applyNumberFormat="1" applyFont="1" applyFill="1" applyBorder="1" applyAlignment="1">
      <alignment horizontal="left" vertical="top" textRotation="90"/>
    </xf>
    <xf numFmtId="49" fontId="85" fillId="29" borderId="14" xfId="0" applyNumberFormat="1" applyFont="1" applyFill="1" applyBorder="1" applyAlignment="1">
      <alignment horizontal="left" vertical="top" textRotation="90"/>
    </xf>
    <xf numFmtId="49" fontId="85" fillId="25" borderId="21" xfId="0" applyNumberFormat="1" applyFont="1" applyFill="1" applyBorder="1" applyAlignment="1">
      <alignment horizontal="left" vertical="top" wrapText="1"/>
    </xf>
    <xf numFmtId="49" fontId="85" fillId="25" borderId="14" xfId="0" applyNumberFormat="1" applyFont="1" applyFill="1" applyBorder="1" applyAlignment="1">
      <alignment horizontal="left" vertical="top" wrapText="1"/>
    </xf>
    <xf numFmtId="166" fontId="85" fillId="25" borderId="19" xfId="0" applyNumberFormat="1" applyFont="1" applyFill="1" applyBorder="1" applyAlignment="1">
      <alignment horizontal="justify" vertical="top" wrapText="1"/>
    </xf>
    <xf numFmtId="166" fontId="85" fillId="25" borderId="24" xfId="0" applyNumberFormat="1" applyFont="1" applyFill="1" applyBorder="1" applyAlignment="1">
      <alignment horizontal="justify" vertical="top" wrapText="1"/>
    </xf>
    <xf numFmtId="166" fontId="85" fillId="25" borderId="21" xfId="0" applyNumberFormat="1" applyFont="1" applyFill="1" applyBorder="1" applyAlignment="1">
      <alignment horizontal="justify" vertical="top"/>
    </xf>
    <xf numFmtId="49" fontId="84" fillId="25" borderId="21" xfId="0" applyNumberFormat="1" applyFont="1" applyFill="1" applyBorder="1" applyAlignment="1">
      <alignment horizontal="left" vertical="top" wrapText="1"/>
    </xf>
    <xf numFmtId="49" fontId="84" fillId="25" borderId="14" xfId="0" applyNumberFormat="1" applyFont="1" applyFill="1" applyBorder="1" applyAlignment="1">
      <alignment horizontal="left" vertical="top" wrapText="1"/>
    </xf>
    <xf numFmtId="49" fontId="85" fillId="25" borderId="6" xfId="0" applyNumberFormat="1" applyFont="1" applyFill="1" applyBorder="1" applyAlignment="1">
      <alignment horizontal="left" vertical="top"/>
    </xf>
    <xf numFmtId="49" fontId="115" fillId="0" borderId="21" xfId="0" applyNumberFormat="1" applyFont="1" applyBorder="1" applyAlignment="1">
      <alignment horizontal="left" vertical="top" wrapText="1"/>
    </xf>
    <xf numFmtId="49" fontId="115" fillId="0" borderId="14" xfId="0" applyNumberFormat="1" applyFont="1" applyBorder="1" applyAlignment="1">
      <alignment horizontal="left" vertical="top" wrapText="1"/>
    </xf>
    <xf numFmtId="49" fontId="85" fillId="29" borderId="37" xfId="0" applyNumberFormat="1" applyFont="1" applyFill="1" applyBorder="1" applyAlignment="1">
      <alignment horizontal="left" vertical="top" wrapText="1"/>
    </xf>
    <xf numFmtId="49" fontId="85" fillId="29" borderId="15" xfId="0" applyNumberFormat="1" applyFont="1" applyFill="1" applyBorder="1" applyAlignment="1">
      <alignment horizontal="left" vertical="top" wrapText="1"/>
    </xf>
    <xf numFmtId="166" fontId="85" fillId="29" borderId="32" xfId="0" applyNumberFormat="1" applyFont="1" applyFill="1" applyBorder="1" applyAlignment="1">
      <alignment horizontal="justify" vertical="top" wrapText="1"/>
    </xf>
    <xf numFmtId="166" fontId="85" fillId="29" borderId="57" xfId="0" applyNumberFormat="1" applyFont="1" applyFill="1" applyBorder="1" applyAlignment="1">
      <alignment horizontal="justify" vertical="top" wrapText="1"/>
    </xf>
    <xf numFmtId="0" fontId="102" fillId="4" borderId="6" xfId="0" applyFont="1" applyFill="1" applyBorder="1" applyAlignment="1">
      <alignment horizontal="left" vertical="top" wrapText="1"/>
    </xf>
    <xf numFmtId="0" fontId="102" fillId="4" borderId="7" xfId="0" applyFont="1" applyFill="1" applyBorder="1" applyAlignment="1">
      <alignment horizontal="left" vertical="top" wrapText="1"/>
    </xf>
    <xf numFmtId="166" fontId="101" fillId="0" borderId="24" xfId="0" applyNumberFormat="1" applyFont="1" applyBorder="1" applyAlignment="1">
      <alignment horizontal="justify" vertical="top"/>
    </xf>
    <xf numFmtId="1" fontId="85" fillId="29" borderId="21" xfId="0" applyNumberFormat="1" applyFont="1" applyFill="1" applyBorder="1" applyAlignment="1">
      <alignment horizontal="left" vertical="top" textRotation="90"/>
    </xf>
    <xf numFmtId="1" fontId="85" fillId="29" borderId="14" xfId="0" applyNumberFormat="1" applyFont="1" applyFill="1" applyBorder="1" applyAlignment="1">
      <alignment horizontal="left" vertical="top" textRotation="90"/>
    </xf>
    <xf numFmtId="49" fontId="85" fillId="0" borderId="9" xfId="0" applyNumberFormat="1" applyFont="1" applyBorder="1" applyAlignment="1">
      <alignment horizontal="left" vertical="top" wrapText="1"/>
    </xf>
    <xf numFmtId="1" fontId="85" fillId="0" borderId="21" xfId="0" applyNumberFormat="1" applyFont="1" applyBorder="1" applyAlignment="1">
      <alignment horizontal="left" vertical="top" textRotation="90"/>
    </xf>
    <xf numFmtId="1" fontId="85" fillId="0" borderId="14" xfId="0" applyNumberFormat="1" applyFont="1" applyBorder="1" applyAlignment="1">
      <alignment horizontal="left" vertical="top" textRotation="90"/>
    </xf>
    <xf numFmtId="2" fontId="85" fillId="0" borderId="14" xfId="0" applyNumberFormat="1" applyFont="1" applyBorder="1" applyAlignment="1">
      <alignment horizontal="justify" vertical="top" wrapText="1"/>
    </xf>
    <xf numFmtId="2" fontId="84" fillId="0" borderId="19" xfId="0" applyNumberFormat="1" applyFont="1" applyBorder="1" applyAlignment="1">
      <alignment horizontal="left" vertical="top"/>
    </xf>
    <xf numFmtId="2" fontId="84" fillId="0" borderId="24" xfId="0" applyNumberFormat="1" applyFont="1" applyBorder="1" applyAlignment="1">
      <alignment horizontal="left" vertical="top"/>
    </xf>
    <xf numFmtId="2" fontId="84" fillId="0" borderId="21" xfId="0" applyNumberFormat="1" applyFont="1" applyBorder="1" applyAlignment="1">
      <alignment horizontal="left" vertical="top"/>
    </xf>
    <xf numFmtId="0" fontId="84" fillId="0" borderId="15" xfId="0" applyFont="1" applyBorder="1" applyAlignment="1">
      <alignment horizontal="center" vertical="center" wrapText="1"/>
    </xf>
    <xf numFmtId="0" fontId="84" fillId="0" borderId="35" xfId="0" applyFont="1" applyBorder="1" applyAlignment="1">
      <alignment horizontal="center" vertical="center" wrapText="1"/>
    </xf>
    <xf numFmtId="0" fontId="84" fillId="0" borderId="17" xfId="0" applyFont="1" applyBorder="1" applyAlignment="1">
      <alignment horizontal="center" vertical="center" wrapText="1"/>
    </xf>
    <xf numFmtId="167" fontId="85" fillId="29" borderId="21" xfId="0" applyNumberFormat="1" applyFont="1" applyFill="1" applyBorder="1" applyAlignment="1">
      <alignment horizontal="left" vertical="top" wrapText="1"/>
    </xf>
    <xf numFmtId="167" fontId="85" fillId="29" borderId="14" xfId="0" applyNumberFormat="1" applyFont="1" applyFill="1" applyBorder="1" applyAlignment="1">
      <alignment horizontal="left" vertical="top" wrapText="1"/>
    </xf>
    <xf numFmtId="0" fontId="84" fillId="0" borderId="65" xfId="0" applyFont="1" applyBorder="1" applyAlignment="1">
      <alignment horizontal="center" vertical="center" wrapText="1"/>
    </xf>
    <xf numFmtId="2" fontId="84" fillId="0" borderId="21" xfId="0" applyNumberFormat="1" applyFont="1" applyBorder="1" applyAlignment="1">
      <alignment horizontal="left" vertical="top" wrapText="1"/>
    </xf>
    <xf numFmtId="2" fontId="84" fillId="0" borderId="14" xfId="0" applyNumberFormat="1" applyFont="1" applyBorder="1" applyAlignment="1">
      <alignment horizontal="left" vertical="top" wrapText="1"/>
    </xf>
    <xf numFmtId="49" fontId="84" fillId="0" borderId="65" xfId="0" applyNumberFormat="1" applyFont="1" applyBorder="1" applyAlignment="1">
      <alignment horizontal="left" vertical="top" wrapText="1"/>
    </xf>
    <xf numFmtId="49" fontId="84" fillId="0" borderId="57" xfId="0" applyNumberFormat="1" applyFont="1" applyBorder="1" applyAlignment="1">
      <alignment horizontal="left" vertical="top" wrapText="1"/>
    </xf>
    <xf numFmtId="49" fontId="84" fillId="29" borderId="24" xfId="0" applyNumberFormat="1" applyFont="1" applyFill="1" applyBorder="1" applyAlignment="1">
      <alignment horizontal="left" vertical="top" wrapText="1"/>
    </xf>
    <xf numFmtId="0" fontId="84" fillId="28" borderId="15" xfId="0" applyFont="1" applyFill="1" applyBorder="1" applyAlignment="1">
      <alignment horizontal="left" vertical="top" wrapText="1"/>
    </xf>
    <xf numFmtId="0" fontId="84" fillId="28" borderId="14" xfId="0" applyFont="1" applyFill="1" applyBorder="1" applyAlignment="1">
      <alignment horizontal="left" vertical="top" wrapText="1"/>
    </xf>
    <xf numFmtId="0" fontId="84" fillId="28" borderId="65" xfId="0" applyFont="1" applyFill="1" applyBorder="1" applyAlignment="1">
      <alignment horizontal="left" vertical="top"/>
    </xf>
    <xf numFmtId="0" fontId="84" fillId="28" borderId="0" xfId="0" applyFont="1" applyFill="1" applyAlignment="1">
      <alignment horizontal="left" vertical="top"/>
    </xf>
    <xf numFmtId="0" fontId="84" fillId="28" borderId="57" xfId="0" applyFont="1" applyFill="1" applyBorder="1" applyAlignment="1">
      <alignment horizontal="left" vertical="top"/>
    </xf>
    <xf numFmtId="49" fontId="102" fillId="0" borderId="19" xfId="0" applyNumberFormat="1" applyFont="1" applyBorder="1" applyAlignment="1">
      <alignment horizontal="left" vertical="top" wrapText="1"/>
    </xf>
    <xf numFmtId="49" fontId="102" fillId="0" borderId="24" xfId="0" applyNumberFormat="1" applyFont="1" applyBorder="1" applyAlignment="1">
      <alignment horizontal="left" vertical="top" wrapText="1"/>
    </xf>
    <xf numFmtId="1" fontId="84" fillId="35" borderId="19" xfId="0" applyNumberFormat="1" applyFont="1" applyFill="1" applyBorder="1" applyAlignment="1">
      <alignment horizontal="left" vertical="top"/>
    </xf>
    <xf numFmtId="1" fontId="84" fillId="35" borderId="21" xfId="0" applyNumberFormat="1" applyFont="1" applyFill="1" applyBorder="1" applyAlignment="1">
      <alignment horizontal="left" vertical="top"/>
    </xf>
    <xf numFmtId="1" fontId="85" fillId="0" borderId="14" xfId="0" applyNumberFormat="1" applyFont="1" applyBorder="1" applyAlignment="1">
      <alignment horizontal="left" vertical="top"/>
    </xf>
    <xf numFmtId="49" fontId="84" fillId="35" borderId="19" xfId="0" applyNumberFormat="1" applyFont="1" applyFill="1" applyBorder="1" applyAlignment="1">
      <alignment horizontal="left" vertical="top" wrapText="1"/>
    </xf>
    <xf numFmtId="49" fontId="84" fillId="35" borderId="21" xfId="0" applyNumberFormat="1" applyFont="1" applyFill="1" applyBorder="1" applyAlignment="1">
      <alignment horizontal="left" vertical="top" wrapText="1"/>
    </xf>
    <xf numFmtId="49" fontId="84" fillId="37" borderId="24" xfId="0" applyNumberFormat="1" applyFont="1" applyFill="1" applyBorder="1" applyAlignment="1">
      <alignment horizontal="left" vertical="top" wrapText="1"/>
    </xf>
    <xf numFmtId="49" fontId="84" fillId="37" borderId="19" xfId="0" applyNumberFormat="1" applyFont="1" applyFill="1" applyBorder="1" applyAlignment="1">
      <alignment horizontal="left" vertical="top" wrapText="1"/>
    </xf>
    <xf numFmtId="0" fontId="84" fillId="0" borderId="36" xfId="0" applyFont="1" applyBorder="1" applyAlignment="1">
      <alignment horizontal="center" vertical="center" wrapText="1"/>
    </xf>
    <xf numFmtId="49" fontId="113" fillId="0" borderId="14" xfId="0" applyNumberFormat="1" applyFont="1" applyBorder="1" applyAlignment="1">
      <alignment horizontal="left" vertical="top" wrapText="1"/>
    </xf>
    <xf numFmtId="49" fontId="102" fillId="37" borderId="24" xfId="0" applyNumberFormat="1" applyFont="1" applyFill="1" applyBorder="1" applyAlignment="1">
      <alignment horizontal="left" vertical="top" wrapText="1"/>
    </xf>
    <xf numFmtId="49" fontId="102" fillId="37" borderId="21" xfId="0" applyNumberFormat="1" applyFont="1" applyFill="1" applyBorder="1" applyAlignment="1">
      <alignment horizontal="left" vertical="top" wrapText="1"/>
    </xf>
    <xf numFmtId="49" fontId="102" fillId="37" borderId="19" xfId="0" applyNumberFormat="1" applyFont="1" applyFill="1" applyBorder="1" applyAlignment="1">
      <alignment horizontal="left" vertical="top" wrapText="1"/>
    </xf>
    <xf numFmtId="49" fontId="84" fillId="35" borderId="8" xfId="0" applyNumberFormat="1" applyFont="1" applyFill="1" applyBorder="1" applyAlignment="1">
      <alignment horizontal="left" vertical="top"/>
    </xf>
    <xf numFmtId="49" fontId="84" fillId="36" borderId="14" xfId="0" applyNumberFormat="1" applyFont="1" applyFill="1" applyBorder="1" applyAlignment="1">
      <alignment horizontal="left" vertical="top" wrapText="1"/>
    </xf>
    <xf numFmtId="0" fontId="85" fillId="36" borderId="14" xfId="0" applyFont="1" applyFill="1" applyBorder="1" applyAlignment="1">
      <alignment horizontal="left" vertical="top" textRotation="90" wrapText="1"/>
    </xf>
    <xf numFmtId="49" fontId="84" fillId="37" borderId="21" xfId="0" applyNumberFormat="1" applyFont="1" applyFill="1" applyBorder="1" applyAlignment="1">
      <alignment horizontal="left" vertical="top" wrapText="1"/>
    </xf>
    <xf numFmtId="0" fontId="85" fillId="37" borderId="19" xfId="0" applyFont="1" applyFill="1" applyBorder="1" applyAlignment="1">
      <alignment horizontal="left" vertical="top"/>
    </xf>
    <xf numFmtId="0" fontId="85" fillId="37" borderId="24" xfId="0" applyFont="1" applyFill="1" applyBorder="1" applyAlignment="1">
      <alignment horizontal="left" vertical="top"/>
    </xf>
    <xf numFmtId="0" fontId="85" fillId="37" borderId="21" xfId="0" applyFont="1" applyFill="1" applyBorder="1" applyAlignment="1">
      <alignment horizontal="left" vertical="top"/>
    </xf>
    <xf numFmtId="0" fontId="85" fillId="0" borderId="14" xfId="0" applyFont="1" applyBorder="1" applyAlignment="1">
      <alignment horizontal="justify" vertical="top"/>
    </xf>
    <xf numFmtId="49" fontId="84" fillId="37" borderId="6" xfId="0" applyNumberFormat="1" applyFont="1" applyFill="1" applyBorder="1" applyAlignment="1">
      <alignment horizontal="left" vertical="top"/>
    </xf>
    <xf numFmtId="0" fontId="84" fillId="37" borderId="6" xfId="0" applyFont="1" applyFill="1" applyBorder="1" applyAlignment="1">
      <alignment horizontal="left" vertical="top" wrapText="1"/>
    </xf>
    <xf numFmtId="0" fontId="85" fillId="37" borderId="6" xfId="0" applyFont="1" applyFill="1" applyBorder="1" applyAlignment="1">
      <alignment horizontal="left" vertical="top" textRotation="90" wrapText="1"/>
    </xf>
    <xf numFmtId="166" fontId="101" fillId="37" borderId="19" xfId="0" applyNumberFormat="1" applyFont="1" applyFill="1" applyBorder="1" applyAlignment="1">
      <alignment horizontal="justify" vertical="top" wrapText="1"/>
    </xf>
    <xf numFmtId="166" fontId="101" fillId="37" borderId="21" xfId="0" applyNumberFormat="1" applyFont="1" applyFill="1" applyBorder="1" applyAlignment="1">
      <alignment horizontal="justify" vertical="top"/>
    </xf>
    <xf numFmtId="0" fontId="85" fillId="37" borderId="9" xfId="0" applyFont="1" applyFill="1" applyBorder="1" applyAlignment="1">
      <alignment horizontal="left" vertical="top" textRotation="90" wrapText="1"/>
    </xf>
    <xf numFmtId="166" fontId="101" fillId="37" borderId="24" xfId="0" applyNumberFormat="1" applyFont="1" applyFill="1" applyBorder="1" applyAlignment="1">
      <alignment horizontal="justify" vertical="top" wrapText="1"/>
    </xf>
    <xf numFmtId="0" fontId="84" fillId="37" borderId="9" xfId="0" applyFont="1" applyFill="1" applyBorder="1" applyAlignment="1">
      <alignment horizontal="left" vertical="top" wrapText="1"/>
    </xf>
    <xf numFmtId="166" fontId="84" fillId="37" borderId="19" xfId="0" applyNumberFormat="1" applyFont="1" applyFill="1" applyBorder="1" applyAlignment="1">
      <alignment horizontal="left" vertical="top"/>
    </xf>
    <xf numFmtId="166" fontId="84" fillId="37" borderId="21" xfId="0" applyNumberFormat="1" applyFont="1" applyFill="1" applyBorder="1" applyAlignment="1">
      <alignment horizontal="left" vertical="top"/>
    </xf>
    <xf numFmtId="166" fontId="101" fillId="0" borderId="14" xfId="0" applyNumberFormat="1" applyFont="1" applyBorder="1" applyAlignment="1">
      <alignment horizontal="justify" vertical="top" wrapText="1"/>
    </xf>
    <xf numFmtId="166" fontId="85" fillId="35" borderId="32" xfId="0" applyNumberFormat="1" applyFont="1" applyFill="1" applyBorder="1" applyAlignment="1">
      <alignment horizontal="justify" vertical="top" wrapText="1"/>
    </xf>
    <xf numFmtId="166" fontId="85" fillId="35" borderId="33" xfId="0" applyNumberFormat="1" applyFont="1" applyFill="1" applyBorder="1" applyAlignment="1">
      <alignment horizontal="justify" vertical="top"/>
    </xf>
    <xf numFmtId="166" fontId="84" fillId="35" borderId="19" xfId="0" applyNumberFormat="1" applyFont="1" applyFill="1" applyBorder="1" applyAlignment="1">
      <alignment horizontal="left" vertical="top"/>
    </xf>
    <xf numFmtId="166" fontId="84" fillId="35" borderId="21" xfId="0" applyNumberFormat="1" applyFont="1" applyFill="1" applyBorder="1" applyAlignment="1">
      <alignment horizontal="left" vertical="top"/>
    </xf>
    <xf numFmtId="49" fontId="84" fillId="4" borderId="14" xfId="0" applyNumberFormat="1" applyFont="1" applyFill="1" applyBorder="1" applyAlignment="1">
      <alignment horizontal="left" vertical="top" wrapText="1"/>
    </xf>
    <xf numFmtId="0" fontId="84" fillId="34" borderId="6" xfId="0" applyFont="1" applyFill="1" applyBorder="1" applyAlignment="1">
      <alignment horizontal="left" vertical="top" wrapText="1"/>
    </xf>
    <xf numFmtId="0" fontId="84" fillId="34" borderId="7" xfId="0" applyFont="1" applyFill="1" applyBorder="1" applyAlignment="1">
      <alignment horizontal="left" vertical="top" wrapText="1"/>
    </xf>
    <xf numFmtId="166" fontId="85" fillId="34" borderId="14" xfId="0" applyNumberFormat="1" applyFont="1" applyFill="1" applyBorder="1" applyAlignment="1">
      <alignment horizontal="justify" vertical="top" wrapText="1"/>
    </xf>
    <xf numFmtId="166" fontId="85" fillId="34" borderId="14" xfId="0" applyNumberFormat="1" applyFont="1" applyFill="1" applyBorder="1" applyAlignment="1">
      <alignment horizontal="justify" vertical="top"/>
    </xf>
    <xf numFmtId="166" fontId="85" fillId="37" borderId="19" xfId="0" applyNumberFormat="1" applyFont="1" applyFill="1" applyBorder="1" applyAlignment="1">
      <alignment horizontal="justify" vertical="top" wrapText="1"/>
    </xf>
    <xf numFmtId="166" fontId="85" fillId="37" borderId="24" xfId="0" applyNumberFormat="1" applyFont="1" applyFill="1" applyBorder="1" applyAlignment="1">
      <alignment horizontal="justify" vertical="top"/>
    </xf>
    <xf numFmtId="166" fontId="85" fillId="37" borderId="21" xfId="0" applyNumberFormat="1" applyFont="1" applyFill="1" applyBorder="1" applyAlignment="1">
      <alignment horizontal="justify" vertical="top"/>
    </xf>
    <xf numFmtId="166" fontId="121" fillId="0" borderId="24" xfId="0" applyNumberFormat="1" applyFont="1" applyBorder="1" applyAlignment="1">
      <alignment horizontal="justify" vertical="top" wrapText="1"/>
    </xf>
    <xf numFmtId="166" fontId="121" fillId="0" borderId="24" xfId="0" applyNumberFormat="1" applyFont="1" applyBorder="1" applyAlignment="1">
      <alignment horizontal="justify" vertical="top"/>
    </xf>
    <xf numFmtId="166" fontId="122" fillId="0" borderId="14" xfId="0" applyNumberFormat="1" applyFont="1" applyBorder="1" applyAlignment="1">
      <alignment horizontal="justify" vertical="top"/>
    </xf>
    <xf numFmtId="0" fontId="84" fillId="0" borderId="14" xfId="0" applyFont="1" applyBorder="1" applyAlignment="1">
      <alignment vertical="top" wrapText="1"/>
    </xf>
    <xf numFmtId="49" fontId="85" fillId="35" borderId="6" xfId="0" applyNumberFormat="1" applyFont="1" applyFill="1" applyBorder="1" applyAlignment="1">
      <alignment horizontal="left" vertical="top"/>
    </xf>
    <xf numFmtId="49" fontId="85" fillId="0" borderId="19" xfId="0" applyNumberFormat="1" applyFont="1" applyBorder="1" applyAlignment="1">
      <alignment horizontal="left" vertical="top"/>
    </xf>
    <xf numFmtId="49" fontId="85" fillId="0" borderId="21" xfId="0" applyNumberFormat="1" applyFont="1" applyBorder="1" applyAlignment="1">
      <alignment horizontal="left" vertical="top"/>
    </xf>
    <xf numFmtId="166" fontId="84" fillId="29" borderId="19" xfId="0" applyNumberFormat="1" applyFont="1" applyFill="1" applyBorder="1" applyAlignment="1">
      <alignment horizontal="left" vertical="top"/>
    </xf>
    <xf numFmtId="166" fontId="84" fillId="29" borderId="24" xfId="0" applyNumberFormat="1" applyFont="1" applyFill="1" applyBorder="1" applyAlignment="1">
      <alignment horizontal="left" vertical="top"/>
    </xf>
    <xf numFmtId="166" fontId="84" fillId="29" borderId="21" xfId="0" applyNumberFormat="1" applyFont="1" applyFill="1" applyBorder="1" applyAlignment="1">
      <alignment horizontal="left" vertical="top"/>
    </xf>
    <xf numFmtId="49" fontId="84" fillId="0" borderId="18" xfId="0" applyNumberFormat="1" applyFont="1" applyBorder="1" applyAlignment="1">
      <alignment horizontal="left" vertical="top" wrapText="1"/>
    </xf>
    <xf numFmtId="49" fontId="84" fillId="0" borderId="7" xfId="0" applyNumberFormat="1" applyFont="1" applyBorder="1" applyAlignment="1">
      <alignment horizontal="left" vertical="top" wrapText="1"/>
    </xf>
    <xf numFmtId="0" fontId="85" fillId="0" borderId="23" xfId="0" applyFont="1" applyBorder="1" applyAlignment="1">
      <alignment horizontal="left" vertical="top" textRotation="90" wrapText="1"/>
    </xf>
    <xf numFmtId="49" fontId="84" fillId="29" borderId="14" xfId="0" applyNumberFormat="1" applyFont="1" applyFill="1" applyBorder="1" applyAlignment="1">
      <alignment horizontal="left" vertical="top"/>
    </xf>
    <xf numFmtId="0" fontId="85" fillId="29" borderId="14" xfId="0" applyFont="1" applyFill="1" applyBorder="1" applyAlignment="1">
      <alignment horizontal="left" vertical="top" textRotation="90" wrapText="1"/>
    </xf>
    <xf numFmtId="0" fontId="85" fillId="37" borderId="21" xfId="0" applyFont="1" applyFill="1" applyBorder="1" applyAlignment="1">
      <alignment horizontal="left" vertical="top" textRotation="90" wrapText="1"/>
    </xf>
    <xf numFmtId="0" fontId="85" fillId="37" borderId="14" xfId="0" applyFont="1" applyFill="1" applyBorder="1" applyAlignment="1">
      <alignment horizontal="left" vertical="top" textRotation="90" wrapText="1"/>
    </xf>
    <xf numFmtId="49" fontId="85" fillId="34" borderId="6" xfId="0" applyNumberFormat="1" applyFont="1" applyFill="1" applyBorder="1" applyAlignment="1">
      <alignment horizontal="left" vertical="top"/>
    </xf>
    <xf numFmtId="49" fontId="85" fillId="34" borderId="7" xfId="0" applyNumberFormat="1" applyFont="1" applyFill="1" applyBorder="1" applyAlignment="1">
      <alignment horizontal="left" vertical="top"/>
    </xf>
    <xf numFmtId="49" fontId="84" fillId="37" borderId="9" xfId="0" applyNumberFormat="1" applyFont="1" applyFill="1" applyBorder="1" applyAlignment="1">
      <alignment horizontal="left" vertical="top"/>
    </xf>
    <xf numFmtId="0" fontId="85" fillId="34" borderId="6" xfId="0" applyFont="1" applyFill="1" applyBorder="1" applyAlignment="1">
      <alignment horizontal="left" vertical="top" textRotation="90" wrapText="1"/>
    </xf>
    <xf numFmtId="0" fontId="85" fillId="34" borderId="7" xfId="0" applyFont="1" applyFill="1" applyBorder="1" applyAlignment="1">
      <alignment horizontal="left" vertical="top" textRotation="90" wrapText="1"/>
    </xf>
    <xf numFmtId="0" fontId="85" fillId="23" borderId="14" xfId="0" applyFont="1" applyFill="1" applyBorder="1" applyAlignment="1">
      <alignment horizontal="left" vertical="center" wrapText="1"/>
    </xf>
    <xf numFmtId="0" fontId="85" fillId="19" borderId="14" xfId="0" applyFont="1" applyFill="1" applyBorder="1" applyAlignment="1">
      <alignment horizontal="left" vertical="center" wrapText="1"/>
    </xf>
    <xf numFmtId="3" fontId="85" fillId="0" borderId="19" xfId="0" applyNumberFormat="1" applyFont="1" applyBorder="1" applyAlignment="1">
      <alignment horizontal="left" vertical="center" wrapText="1"/>
    </xf>
    <xf numFmtId="3" fontId="85" fillId="0" borderId="21" xfId="0" applyNumberFormat="1" applyFont="1" applyBorder="1" applyAlignment="1">
      <alignment horizontal="left" vertical="center" wrapText="1"/>
    </xf>
    <xf numFmtId="0" fontId="85" fillId="0" borderId="24" xfId="0" applyFont="1" applyBorder="1" applyAlignment="1">
      <alignment horizontal="left" vertical="center" wrapText="1"/>
    </xf>
    <xf numFmtId="0" fontId="106" fillId="0" borderId="19" xfId="0" applyFont="1" applyBorder="1" applyAlignment="1">
      <alignment horizontal="left" vertical="center" wrapText="1"/>
    </xf>
    <xf numFmtId="0" fontId="106" fillId="0" borderId="21" xfId="0" applyFont="1" applyBorder="1" applyAlignment="1">
      <alignment horizontal="left" vertical="center" wrapText="1"/>
    </xf>
    <xf numFmtId="0" fontId="148" fillId="23" borderId="14" xfId="0" applyFont="1" applyFill="1" applyBorder="1" applyAlignment="1">
      <alignment horizontal="left" vertical="center" wrapText="1"/>
    </xf>
    <xf numFmtId="0" fontId="148" fillId="19" borderId="14" xfId="0" applyFont="1" applyFill="1" applyBorder="1" applyAlignment="1">
      <alignment horizontal="left" vertical="center" wrapText="1"/>
    </xf>
    <xf numFmtId="0" fontId="84" fillId="21" borderId="14" xfId="0" applyFont="1" applyFill="1" applyBorder="1" applyAlignment="1">
      <alignment horizontal="center" vertical="center" wrapText="1"/>
    </xf>
    <xf numFmtId="10" fontId="85" fillId="0" borderId="19" xfId="0" applyNumberFormat="1" applyFont="1" applyBorder="1" applyAlignment="1">
      <alignment horizontal="left" vertical="center" wrapText="1"/>
    </xf>
    <xf numFmtId="10" fontId="85" fillId="0" borderId="21" xfId="0" applyNumberFormat="1" applyFont="1" applyBorder="1" applyAlignment="1">
      <alignment horizontal="left" vertical="center" wrapText="1"/>
    </xf>
    <xf numFmtId="0" fontId="140" fillId="0" borderId="14" xfId="0" applyFont="1" applyBorder="1" applyAlignment="1">
      <alignment horizontal="left" vertical="top" wrapText="1"/>
    </xf>
    <xf numFmtId="0" fontId="141" fillId="23" borderId="14" xfId="0" applyFont="1" applyFill="1" applyBorder="1" applyAlignment="1">
      <alignment horizontal="left" vertical="center" wrapText="1"/>
    </xf>
    <xf numFmtId="0" fontId="141" fillId="19" borderId="19" xfId="0" applyFont="1" applyFill="1" applyBorder="1" applyAlignment="1">
      <alignment horizontal="left" vertical="center" wrapText="1"/>
    </xf>
    <xf numFmtId="0" fontId="140" fillId="21" borderId="38" xfId="0" applyFont="1" applyFill="1" applyBorder="1" applyAlignment="1">
      <alignment horizontal="center" vertical="center"/>
    </xf>
    <xf numFmtId="0" fontId="142" fillId="23" borderId="14" xfId="0" applyFont="1" applyFill="1" applyBorder="1" applyAlignment="1">
      <alignment horizontal="left" vertical="center" wrapText="1"/>
    </xf>
    <xf numFmtId="0" fontId="142" fillId="19" borderId="14" xfId="0" applyFont="1" applyFill="1" applyBorder="1" applyAlignment="1">
      <alignment horizontal="left" vertical="center" wrapText="1"/>
    </xf>
    <xf numFmtId="0" fontId="140" fillId="0" borderId="15" xfId="0" applyFont="1" applyBorder="1" applyAlignment="1">
      <alignment horizontal="left" vertical="top" wrapText="1"/>
    </xf>
    <xf numFmtId="0" fontId="141" fillId="0" borderId="19" xfId="0" applyFont="1" applyBorder="1" applyAlignment="1">
      <alignment horizontal="left" vertical="center" wrapText="1"/>
    </xf>
    <xf numFmtId="0" fontId="141" fillId="0" borderId="21" xfId="0" applyFont="1" applyBorder="1" applyAlignment="1">
      <alignment horizontal="left" vertical="center" wrapText="1"/>
    </xf>
    <xf numFmtId="0" fontId="21" fillId="12" borderId="76" xfId="0" applyFont="1" applyFill="1" applyBorder="1" applyAlignment="1">
      <alignment vertical="center" wrapText="1"/>
    </xf>
    <xf numFmtId="0" fontId="21" fillId="12" borderId="77" xfId="0" applyFont="1" applyFill="1" applyBorder="1" applyAlignment="1">
      <alignment vertical="center" wrapText="1"/>
    </xf>
    <xf numFmtId="0" fontId="14" fillId="0" borderId="76" xfId="0" applyFont="1" applyBorder="1" applyAlignment="1">
      <alignment vertical="center" wrapText="1"/>
    </xf>
    <xf numFmtId="0" fontId="14" fillId="0" borderId="78" xfId="0" applyFont="1" applyBorder="1" applyAlignment="1">
      <alignment vertical="center" wrapText="1"/>
    </xf>
    <xf numFmtId="0" fontId="29" fillId="11" borderId="76" xfId="0" applyFont="1" applyFill="1" applyBorder="1" applyAlignment="1">
      <alignment vertical="center" wrapText="1"/>
    </xf>
    <xf numFmtId="0" fontId="29" fillId="11" borderId="77" xfId="0" applyFont="1" applyFill="1" applyBorder="1" applyAlignment="1">
      <alignment vertical="center" wrapText="1"/>
    </xf>
    <xf numFmtId="0" fontId="14" fillId="11" borderId="77" xfId="0" applyFont="1" applyFill="1" applyBorder="1" applyAlignment="1">
      <alignment vertical="top" wrapText="1"/>
    </xf>
    <xf numFmtId="0" fontId="14" fillId="0" borderId="0" xfId="0" applyFont="1"/>
    <xf numFmtId="0" fontId="13" fillId="0" borderId="68" xfId="0" applyFont="1" applyBorder="1" applyAlignment="1">
      <alignment vertical="center"/>
    </xf>
    <xf numFmtId="0" fontId="13" fillId="0" borderId="73" xfId="0" applyFont="1" applyBorder="1" applyAlignment="1">
      <alignment horizontal="center" vertical="center" wrapText="1"/>
    </xf>
    <xf numFmtId="0" fontId="13" fillId="0" borderId="69" xfId="0" applyFont="1" applyBorder="1" applyAlignment="1">
      <alignment horizontal="center" vertical="center" wrapText="1"/>
    </xf>
    <xf numFmtId="0" fontId="13" fillId="0" borderId="74" xfId="0" applyFont="1" applyBorder="1" applyAlignment="1">
      <alignment horizontal="center" vertical="center" wrapText="1"/>
    </xf>
    <xf numFmtId="0" fontId="13" fillId="0" borderId="75"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71" xfId="0" applyFont="1" applyBorder="1" applyAlignment="1">
      <alignment horizontal="center" vertical="center" wrapText="1"/>
    </xf>
    <xf numFmtId="0" fontId="13" fillId="14" borderId="76" xfId="0" applyFont="1" applyFill="1" applyBorder="1" applyAlignment="1">
      <alignment vertical="center"/>
    </xf>
    <xf numFmtId="0" fontId="13" fillId="14" borderId="77" xfId="0" applyFont="1" applyFill="1" applyBorder="1" applyAlignment="1">
      <alignment vertical="center"/>
    </xf>
    <xf numFmtId="0" fontId="14" fillId="14" borderId="77" xfId="0" applyFont="1" applyFill="1" applyBorder="1" applyAlignment="1">
      <alignment vertical="top"/>
    </xf>
    <xf numFmtId="0" fontId="67" fillId="14" borderId="76" xfId="0" applyFont="1" applyFill="1" applyBorder="1" applyAlignment="1">
      <alignment vertical="center"/>
    </xf>
    <xf numFmtId="0" fontId="67" fillId="14" borderId="77" xfId="0" applyFont="1" applyFill="1" applyBorder="1" applyAlignment="1">
      <alignment vertical="center"/>
    </xf>
    <xf numFmtId="0" fontId="21" fillId="13" borderId="76" xfId="0" applyFont="1" applyFill="1" applyBorder="1" applyAlignment="1">
      <alignment vertical="center" wrapText="1"/>
    </xf>
    <xf numFmtId="0" fontId="21" fillId="13" borderId="77" xfId="0" applyFont="1" applyFill="1" applyBorder="1" applyAlignment="1">
      <alignment vertical="center" wrapText="1"/>
    </xf>
    <xf numFmtId="0" fontId="14" fillId="13" borderId="77" xfId="0" applyFont="1" applyFill="1" applyBorder="1" applyAlignment="1">
      <alignment wrapText="1"/>
    </xf>
    <xf numFmtId="0" fontId="14" fillId="12" borderId="77" xfId="0" applyFont="1" applyFill="1" applyBorder="1" applyAlignment="1">
      <alignment vertical="top" wrapText="1"/>
    </xf>
    <xf numFmtId="0" fontId="67" fillId="14" borderId="76" xfId="0" applyFont="1" applyFill="1" applyBorder="1" applyAlignment="1">
      <alignment vertical="center" wrapText="1"/>
    </xf>
    <xf numFmtId="0" fontId="67" fillId="14" borderId="77" xfId="0" applyFont="1" applyFill="1" applyBorder="1" applyAlignment="1">
      <alignment vertical="center" wrapText="1"/>
    </xf>
    <xf numFmtId="0" fontId="14" fillId="14" borderId="77" xfId="0" applyFont="1" applyFill="1" applyBorder="1" applyAlignment="1">
      <alignment vertical="top" wrapText="1"/>
    </xf>
    <xf numFmtId="0" fontId="14" fillId="0" borderId="73" xfId="0" applyFont="1" applyBorder="1" applyAlignment="1">
      <alignment vertical="center" wrapText="1"/>
    </xf>
    <xf numFmtId="0" fontId="14" fillId="0" borderId="70" xfId="0" applyFont="1" applyBorder="1" applyAlignment="1">
      <alignment vertical="center" wrapText="1"/>
    </xf>
    <xf numFmtId="0" fontId="14" fillId="0" borderId="69" xfId="0" applyFont="1" applyBorder="1" applyAlignment="1">
      <alignment vertical="center" wrapText="1"/>
    </xf>
    <xf numFmtId="0" fontId="16" fillId="0" borderId="73" xfId="0" applyFont="1" applyBorder="1" applyAlignment="1">
      <alignment vertical="center" wrapText="1"/>
    </xf>
    <xf numFmtId="0" fontId="16" fillId="0" borderId="70" xfId="0" applyFont="1" applyBorder="1" applyAlignment="1">
      <alignment vertical="center" wrapText="1"/>
    </xf>
    <xf numFmtId="0" fontId="16" fillId="0" borderId="69" xfId="0" applyFont="1" applyBorder="1" applyAlignment="1">
      <alignment vertical="center" wrapText="1"/>
    </xf>
    <xf numFmtId="0" fontId="14" fillId="0" borderId="74" xfId="0" applyFont="1" applyBorder="1" applyAlignment="1">
      <alignment vertical="center" wrapText="1"/>
    </xf>
    <xf numFmtId="0" fontId="14" fillId="0" borderId="75" xfId="0" applyFont="1" applyBorder="1" applyAlignment="1">
      <alignment vertical="center" wrapText="1"/>
    </xf>
    <xf numFmtId="0" fontId="14" fillId="0" borderId="55" xfId="0" applyFont="1" applyBorder="1" applyAlignment="1">
      <alignment vertical="center" wrapText="1"/>
    </xf>
    <xf numFmtId="0" fontId="14" fillId="0" borderId="71" xfId="0" applyFont="1" applyBorder="1" applyAlignment="1">
      <alignment vertical="center" wrapText="1"/>
    </xf>
    <xf numFmtId="0" fontId="16" fillId="0" borderId="76" xfId="0" applyFont="1" applyBorder="1" applyAlignment="1">
      <alignment vertical="center" wrapText="1"/>
    </xf>
    <xf numFmtId="0" fontId="16" fillId="0" borderId="78" xfId="0" applyFont="1" applyBorder="1" applyAlignment="1">
      <alignment vertical="center" wrapText="1"/>
    </xf>
    <xf numFmtId="0" fontId="15" fillId="0" borderId="76" xfId="0" applyFont="1" applyBorder="1" applyAlignment="1">
      <alignment vertical="center" wrapText="1"/>
    </xf>
    <xf numFmtId="0" fontId="15" fillId="0" borderId="78" xfId="0" applyFont="1" applyBorder="1" applyAlignment="1">
      <alignment vertical="center" wrapText="1"/>
    </xf>
    <xf numFmtId="0" fontId="68" fillId="0" borderId="73" xfId="0" applyFont="1" applyBorder="1" applyAlignment="1">
      <alignment vertical="center" wrapText="1"/>
    </xf>
    <xf numFmtId="0" fontId="68" fillId="0" borderId="69" xfId="0" applyFont="1" applyBorder="1" applyAlignment="1">
      <alignment vertical="center" wrapText="1"/>
    </xf>
    <xf numFmtId="0" fontId="14" fillId="0" borderId="76" xfId="0" applyFont="1" applyBorder="1" applyAlignment="1">
      <alignment wrapText="1"/>
    </xf>
    <xf numFmtId="0" fontId="14" fillId="0" borderId="78" xfId="0" applyFont="1" applyBorder="1" applyAlignment="1">
      <alignment wrapText="1"/>
    </xf>
    <xf numFmtId="0" fontId="68" fillId="0" borderId="76" xfId="0" applyFont="1" applyBorder="1" applyAlignment="1">
      <alignment vertical="center" wrapText="1"/>
    </xf>
    <xf numFmtId="0" fontId="68" fillId="0" borderId="78" xfId="0" applyFont="1" applyBorder="1" applyAlignment="1">
      <alignment vertical="center" wrapText="1"/>
    </xf>
    <xf numFmtId="0" fontId="68" fillId="14" borderId="73" xfId="0" applyFont="1" applyFill="1" applyBorder="1" applyAlignment="1">
      <alignment vertical="center" wrapText="1"/>
    </xf>
    <xf numFmtId="0" fontId="68" fillId="14" borderId="69" xfId="0" applyFont="1" applyFill="1" applyBorder="1" applyAlignment="1">
      <alignment vertical="center" wrapText="1"/>
    </xf>
    <xf numFmtId="0" fontId="68" fillId="0" borderId="70" xfId="0" applyFont="1" applyBorder="1" applyAlignment="1">
      <alignment vertical="center" wrapText="1"/>
    </xf>
    <xf numFmtId="3" fontId="14" fillId="0" borderId="76" xfId="0" applyNumberFormat="1" applyFont="1" applyBorder="1" applyAlignment="1">
      <alignment vertical="center" wrapText="1"/>
    </xf>
    <xf numFmtId="3" fontId="14" fillId="0" borderId="78" xfId="0" applyNumberFormat="1" applyFont="1" applyBorder="1" applyAlignment="1">
      <alignment vertical="center" wrapText="1"/>
    </xf>
    <xf numFmtId="0" fontId="70" fillId="13" borderId="76" xfId="0" applyFont="1" applyFill="1" applyBorder="1" applyAlignment="1">
      <alignment vertical="center" wrapText="1"/>
    </xf>
    <xf numFmtId="0" fontId="70" fillId="13" borderId="77" xfId="0" applyFont="1" applyFill="1" applyBorder="1" applyAlignment="1">
      <alignment vertical="center" wrapText="1"/>
    </xf>
    <xf numFmtId="0" fontId="14" fillId="14" borderId="73" xfId="0" applyFont="1" applyFill="1" applyBorder="1" applyAlignment="1">
      <alignment vertical="center" wrapText="1"/>
    </xf>
    <xf numFmtId="0" fontId="14" fillId="14" borderId="69" xfId="0" applyFont="1" applyFill="1" applyBorder="1" applyAlignment="1">
      <alignment vertical="center" wrapText="1"/>
    </xf>
    <xf numFmtId="0" fontId="14" fillId="0" borderId="74" xfId="0" applyFont="1" applyBorder="1" applyAlignment="1">
      <alignment horizontal="justify" vertical="center" wrapText="1"/>
    </xf>
    <xf numFmtId="0" fontId="14" fillId="0" borderId="55" xfId="0" applyFont="1" applyBorder="1" applyAlignment="1">
      <alignment horizontal="justify" vertical="center" wrapText="1"/>
    </xf>
    <xf numFmtId="0" fontId="14" fillId="0" borderId="73" xfId="0" applyFont="1" applyBorder="1" applyAlignment="1">
      <alignment horizontal="justify" vertical="center" wrapText="1"/>
    </xf>
    <xf numFmtId="0" fontId="14" fillId="0" borderId="69" xfId="0" applyFont="1" applyBorder="1" applyAlignment="1">
      <alignment horizontal="justify" vertical="center" wrapText="1"/>
    </xf>
    <xf numFmtId="0" fontId="16" fillId="0" borderId="73" xfId="0" applyFont="1" applyBorder="1" applyAlignment="1">
      <alignment horizontal="justify" vertical="center" wrapText="1"/>
    </xf>
    <xf numFmtId="0" fontId="16" fillId="0" borderId="69" xfId="0" applyFont="1" applyBorder="1" applyAlignment="1">
      <alignment horizontal="justify" vertical="center" wrapText="1"/>
    </xf>
    <xf numFmtId="0" fontId="14" fillId="0" borderId="75" xfId="0" applyFont="1" applyBorder="1" applyAlignment="1">
      <alignment horizontal="justify" vertical="center" wrapText="1"/>
    </xf>
    <xf numFmtId="0" fontId="14" fillId="0" borderId="71" xfId="0" applyFont="1" applyBorder="1" applyAlignment="1">
      <alignment horizontal="justify" vertical="center" wrapText="1"/>
    </xf>
    <xf numFmtId="0" fontId="67" fillId="14" borderId="76" xfId="0" applyFont="1" applyFill="1" applyBorder="1" applyAlignment="1">
      <alignment horizontal="justify" vertical="center" wrapText="1"/>
    </xf>
    <xf numFmtId="0" fontId="67" fillId="14" borderId="77" xfId="0" applyFont="1" applyFill="1" applyBorder="1" applyAlignment="1">
      <alignment horizontal="justify" vertical="center" wrapText="1"/>
    </xf>
    <xf numFmtId="0" fontId="71" fillId="11" borderId="76" xfId="0" applyFont="1" applyFill="1" applyBorder="1" applyAlignment="1">
      <alignment vertical="center" wrapText="1"/>
    </xf>
    <xf numFmtId="0" fontId="71" fillId="11" borderId="77" xfId="0" applyFont="1" applyFill="1" applyBorder="1" applyAlignment="1">
      <alignment vertical="center" wrapText="1"/>
    </xf>
    <xf numFmtId="0" fontId="14" fillId="15" borderId="76" xfId="0" applyFont="1" applyFill="1" applyBorder="1" applyAlignment="1">
      <alignment vertical="center" wrapText="1"/>
    </xf>
    <xf numFmtId="0" fontId="14" fillId="15" borderId="78" xfId="0" applyFont="1" applyFill="1" applyBorder="1" applyAlignment="1">
      <alignment vertical="center" wrapText="1"/>
    </xf>
    <xf numFmtId="0" fontId="67" fillId="14" borderId="76" xfId="0" applyFont="1" applyFill="1" applyBorder="1" applyAlignment="1">
      <alignment horizontal="left" vertical="center" wrapText="1"/>
    </xf>
    <xf numFmtId="0" fontId="67" fillId="14" borderId="77" xfId="0" applyFont="1" applyFill="1" applyBorder="1" applyAlignment="1">
      <alignment horizontal="left" vertical="center" wrapText="1"/>
    </xf>
    <xf numFmtId="0" fontId="20" fillId="0" borderId="76" xfId="0" applyFont="1" applyBorder="1" applyAlignment="1">
      <alignment vertical="center" wrapText="1"/>
    </xf>
    <xf numFmtId="0" fontId="20" fillId="0" borderId="78" xfId="0" applyFont="1" applyBorder="1" applyAlignment="1">
      <alignment vertical="center" wrapText="1"/>
    </xf>
    <xf numFmtId="0" fontId="14" fillId="0" borderId="14" xfId="0" applyFont="1" applyBorder="1" applyAlignment="1">
      <alignment vertical="center" wrapText="1"/>
    </xf>
    <xf numFmtId="0" fontId="14" fillId="0" borderId="14" xfId="0" applyFont="1" applyBorder="1" applyAlignment="1">
      <alignment horizontal="justify" vertical="center" wrapText="1"/>
    </xf>
    <xf numFmtId="49" fontId="13" fillId="2" borderId="0" xfId="0" applyNumberFormat="1" applyFont="1" applyFill="1" applyAlignment="1">
      <alignment horizontal="center" vertical="top"/>
    </xf>
    <xf numFmtId="49" fontId="13" fillId="2" borderId="57" xfId="0" applyNumberFormat="1" applyFont="1" applyFill="1" applyBorder="1" applyAlignment="1">
      <alignment horizontal="center" vertical="top"/>
    </xf>
    <xf numFmtId="49" fontId="21" fillId="8" borderId="6" xfId="0" applyNumberFormat="1" applyFont="1" applyFill="1" applyBorder="1" applyAlignment="1">
      <alignment horizontal="left" vertical="top" wrapText="1"/>
    </xf>
    <xf numFmtId="49" fontId="21" fillId="8" borderId="8" xfId="0" applyNumberFormat="1" applyFont="1" applyFill="1" applyBorder="1" applyAlignment="1">
      <alignment horizontal="left" vertical="top" wrapText="1"/>
    </xf>
    <xf numFmtId="0" fontId="29" fillId="6" borderId="6" xfId="0" applyFont="1" applyFill="1" applyBorder="1" applyAlignment="1">
      <alignment horizontal="center" vertical="top" wrapText="1"/>
    </xf>
    <xf numFmtId="0" fontId="29" fillId="6" borderId="8" xfId="0" applyFont="1" applyFill="1" applyBorder="1" applyAlignment="1">
      <alignment horizontal="center" vertical="top" wrapText="1"/>
    </xf>
    <xf numFmtId="0" fontId="21" fillId="5" borderId="6" xfId="0" applyFont="1" applyFill="1" applyBorder="1" applyAlignment="1">
      <alignment wrapText="1"/>
    </xf>
    <xf numFmtId="0" fontId="21" fillId="5" borderId="8" xfId="0" applyFont="1" applyFill="1" applyBorder="1" applyAlignment="1">
      <alignment wrapText="1"/>
    </xf>
    <xf numFmtId="49" fontId="18" fillId="2" borderId="6" xfId="0" applyNumberFormat="1" applyFont="1" applyFill="1" applyBorder="1" applyAlignment="1">
      <alignment vertical="top" wrapText="1"/>
    </xf>
    <xf numFmtId="49" fontId="18" fillId="2" borderId="8" xfId="0" applyNumberFormat="1" applyFont="1" applyFill="1" applyBorder="1" applyAlignment="1">
      <alignment vertical="top" wrapText="1"/>
    </xf>
    <xf numFmtId="49" fontId="13" fillId="2" borderId="6" xfId="0" applyNumberFormat="1" applyFont="1" applyFill="1" applyBorder="1" applyAlignment="1">
      <alignment vertical="top"/>
    </xf>
    <xf numFmtId="49" fontId="13" fillId="2" borderId="8" xfId="0" applyNumberFormat="1" applyFont="1" applyFill="1" applyBorder="1" applyAlignment="1">
      <alignment vertical="top"/>
    </xf>
    <xf numFmtId="49" fontId="18" fillId="2" borderId="7" xfId="0" applyNumberFormat="1" applyFont="1" applyFill="1" applyBorder="1" applyAlignment="1">
      <alignment vertical="top" wrapText="1"/>
    </xf>
    <xf numFmtId="49" fontId="50" fillId="2" borderId="6" xfId="0" applyNumberFormat="1" applyFont="1" applyFill="1" applyBorder="1" applyAlignment="1">
      <alignment vertical="top" wrapText="1"/>
    </xf>
    <xf numFmtId="49" fontId="50" fillId="2" borderId="8" xfId="0" applyNumberFormat="1" applyFont="1" applyFill="1" applyBorder="1" applyAlignment="1">
      <alignment vertical="top" wrapText="1"/>
    </xf>
    <xf numFmtId="49" fontId="18" fillId="2" borderId="16" xfId="0" applyNumberFormat="1" applyFont="1" applyFill="1" applyBorder="1" applyAlignment="1">
      <alignment horizontal="left" vertical="top" wrapText="1"/>
    </xf>
    <xf numFmtId="49" fontId="18" fillId="2" borderId="22" xfId="0" applyNumberFormat="1" applyFont="1" applyFill="1" applyBorder="1" applyAlignment="1">
      <alignment horizontal="left" vertical="top" wrapText="1"/>
    </xf>
    <xf numFmtId="49" fontId="18" fillId="2" borderId="57" xfId="0" applyNumberFormat="1" applyFont="1" applyFill="1" applyBorder="1" applyAlignment="1">
      <alignment horizontal="left" vertical="top" wrapText="1"/>
    </xf>
    <xf numFmtId="49" fontId="18" fillId="2" borderId="8" xfId="0" applyNumberFormat="1" applyFont="1" applyFill="1" applyBorder="1" applyAlignment="1">
      <alignment horizontal="justify" vertical="justify" wrapText="1"/>
    </xf>
    <xf numFmtId="49" fontId="18" fillId="2" borderId="10" xfId="0" applyNumberFormat="1" applyFont="1" applyFill="1" applyBorder="1" applyAlignment="1">
      <alignment horizontal="justify" vertical="justify" wrapText="1"/>
    </xf>
    <xf numFmtId="0" fontId="30" fillId="6" borderId="6" xfId="0" applyFont="1" applyFill="1" applyBorder="1" applyAlignment="1">
      <alignment horizontal="center" vertical="top" wrapText="1"/>
    </xf>
    <xf numFmtId="0" fontId="30" fillId="6" borderId="8" xfId="0" applyFont="1" applyFill="1" applyBorder="1" applyAlignment="1">
      <alignment horizontal="center" vertical="top" wrapText="1"/>
    </xf>
    <xf numFmtId="49" fontId="18" fillId="2" borderId="6" xfId="0" applyNumberFormat="1" applyFont="1" applyFill="1" applyBorder="1" applyAlignment="1">
      <alignment horizontal="justify" vertical="top" wrapText="1"/>
    </xf>
    <xf numFmtId="49" fontId="18" fillId="2" borderId="8" xfId="0" applyNumberFormat="1" applyFont="1" applyFill="1" applyBorder="1" applyAlignment="1">
      <alignment horizontal="justify" vertical="top" wrapText="1"/>
    </xf>
    <xf numFmtId="0" fontId="21" fillId="5" borderId="10" xfId="0" applyFont="1" applyFill="1" applyBorder="1" applyAlignment="1">
      <alignment wrapText="1"/>
    </xf>
    <xf numFmtId="0" fontId="29" fillId="6" borderId="9" xfId="0" applyFont="1" applyFill="1" applyBorder="1" applyAlignment="1">
      <alignment horizontal="center" vertical="top" wrapText="1"/>
    </xf>
    <xf numFmtId="0" fontId="29" fillId="6" borderId="16" xfId="0" applyFont="1" applyFill="1" applyBorder="1" applyAlignment="1">
      <alignment horizontal="center" vertical="top" wrapText="1"/>
    </xf>
    <xf numFmtId="0" fontId="14" fillId="0" borderId="6" xfId="0" applyFont="1" applyBorder="1" applyAlignment="1">
      <alignment horizontal="left" wrapText="1"/>
    </xf>
    <xf numFmtId="49" fontId="18" fillId="2" borderId="7" xfId="0" applyNumberFormat="1" applyFont="1" applyFill="1" applyBorder="1" applyAlignment="1">
      <alignment horizontal="justify" vertical="top" wrapText="1"/>
    </xf>
    <xf numFmtId="49" fontId="18" fillId="2" borderId="29" xfId="0" applyNumberFormat="1" applyFont="1" applyFill="1" applyBorder="1" applyAlignment="1">
      <alignment horizontal="justify" vertical="top" wrapText="1"/>
    </xf>
    <xf numFmtId="49" fontId="18" fillId="2" borderId="31" xfId="0" applyNumberFormat="1" applyFont="1" applyFill="1" applyBorder="1" applyAlignment="1">
      <alignment vertical="top" wrapText="1"/>
    </xf>
    <xf numFmtId="49" fontId="18" fillId="2" borderId="36" xfId="0" applyNumberFormat="1" applyFont="1" applyFill="1" applyBorder="1" applyAlignment="1">
      <alignment vertical="top" wrapText="1"/>
    </xf>
    <xf numFmtId="49" fontId="18" fillId="2" borderId="37" xfId="0" applyNumberFormat="1" applyFont="1" applyFill="1" applyBorder="1" applyAlignment="1">
      <alignment vertical="top" wrapText="1"/>
    </xf>
    <xf numFmtId="49" fontId="18" fillId="2" borderId="38" xfId="0" applyNumberFormat="1" applyFont="1" applyFill="1" applyBorder="1" applyAlignment="1">
      <alignment vertical="top" wrapText="1"/>
    </xf>
    <xf numFmtId="0" fontId="35" fillId="0" borderId="6" xfId="0" applyFont="1" applyBorder="1" applyAlignment="1">
      <alignment horizontal="center" vertical="center" wrapText="1"/>
    </xf>
    <xf numFmtId="49" fontId="13" fillId="2" borderId="31" xfId="0" applyNumberFormat="1" applyFont="1" applyFill="1" applyBorder="1" applyAlignment="1">
      <alignment vertical="top"/>
    </xf>
    <xf numFmtId="49" fontId="13" fillId="2" borderId="36" xfId="0" applyNumberFormat="1" applyFont="1" applyFill="1" applyBorder="1" applyAlignment="1">
      <alignment vertical="top"/>
    </xf>
    <xf numFmtId="0" fontId="22" fillId="5" borderId="6" xfId="0" applyFont="1" applyFill="1" applyBorder="1" applyAlignment="1">
      <alignment horizontal="justify" wrapText="1"/>
    </xf>
    <xf numFmtId="0" fontId="22" fillId="5" borderId="8" xfId="0" applyFont="1" applyFill="1" applyBorder="1" applyAlignment="1">
      <alignment horizontal="justify" wrapText="1"/>
    </xf>
    <xf numFmtId="49" fontId="18" fillId="2" borderId="29" xfId="0" applyNumberFormat="1" applyFont="1" applyFill="1" applyBorder="1" applyAlignment="1">
      <alignment vertical="top" wrapText="1"/>
    </xf>
    <xf numFmtId="0" fontId="21" fillId="5" borderId="31" xfId="0" applyFont="1" applyFill="1" applyBorder="1" applyAlignment="1">
      <alignment wrapText="1"/>
    </xf>
    <xf numFmtId="0" fontId="21" fillId="5" borderId="36" xfId="0" applyFont="1" applyFill="1" applyBorder="1" applyAlignment="1">
      <alignment wrapText="1"/>
    </xf>
    <xf numFmtId="0" fontId="29" fillId="6" borderId="31" xfId="0" applyFont="1" applyFill="1" applyBorder="1" applyAlignment="1">
      <alignment horizontal="center" vertical="top" wrapText="1"/>
    </xf>
    <xf numFmtId="0" fontId="29" fillId="6" borderId="36" xfId="0" applyFont="1" applyFill="1" applyBorder="1" applyAlignment="1">
      <alignment horizontal="center" vertical="top" wrapText="1"/>
    </xf>
    <xf numFmtId="0" fontId="21" fillId="5" borderId="15" xfId="0" applyFont="1" applyFill="1" applyBorder="1" applyAlignment="1">
      <alignment wrapText="1"/>
    </xf>
    <xf numFmtId="0" fontId="21" fillId="5" borderId="35" xfId="0" applyFont="1" applyFill="1" applyBorder="1" applyAlignment="1">
      <alignment wrapText="1"/>
    </xf>
    <xf numFmtId="49" fontId="18" fillId="2" borderId="15" xfId="0" applyNumberFormat="1" applyFont="1" applyFill="1" applyBorder="1" applyAlignment="1">
      <alignment vertical="top" wrapText="1"/>
    </xf>
    <xf numFmtId="49" fontId="18" fillId="2" borderId="35" xfId="0" applyNumberFormat="1" applyFont="1" applyFill="1" applyBorder="1" applyAlignment="1">
      <alignment vertical="top" wrapText="1"/>
    </xf>
    <xf numFmtId="0" fontId="21" fillId="5" borderId="37" xfId="0" applyFont="1" applyFill="1" applyBorder="1" applyAlignment="1">
      <alignment wrapText="1"/>
    </xf>
    <xf numFmtId="0" fontId="21" fillId="5" borderId="38" xfId="0" applyFont="1" applyFill="1" applyBorder="1" applyAlignment="1">
      <alignment wrapText="1"/>
    </xf>
    <xf numFmtId="49" fontId="36" fillId="2" borderId="15" xfId="0" applyNumberFormat="1" applyFont="1" applyFill="1" applyBorder="1" applyAlignment="1">
      <alignment vertical="top" wrapText="1"/>
    </xf>
    <xf numFmtId="49" fontId="36" fillId="2" borderId="35" xfId="0" applyNumberFormat="1" applyFont="1" applyFill="1" applyBorder="1" applyAlignment="1">
      <alignment vertical="top" wrapText="1"/>
    </xf>
    <xf numFmtId="0" fontId="25" fillId="7" borderId="14" xfId="0" applyFont="1" applyFill="1" applyBorder="1" applyAlignment="1">
      <alignment vertical="top" wrapText="1"/>
    </xf>
    <xf numFmtId="0" fontId="25" fillId="0" borderId="14" xfId="0" applyFont="1" applyBorder="1" applyAlignment="1">
      <alignment horizontal="center" wrapText="1"/>
    </xf>
    <xf numFmtId="0" fontId="21" fillId="5" borderId="65" xfId="0" applyFont="1" applyFill="1" applyBorder="1" applyAlignment="1">
      <alignment wrapText="1"/>
    </xf>
    <xf numFmtId="0" fontId="21" fillId="5" borderId="0" xfId="0" applyFont="1" applyFill="1" applyAlignment="1">
      <alignment wrapText="1"/>
    </xf>
    <xf numFmtId="0" fontId="25" fillId="0" borderId="19" xfId="0" applyFont="1" applyBorder="1" applyAlignment="1">
      <alignment horizontal="center" wrapText="1"/>
    </xf>
    <xf numFmtId="0" fontId="25" fillId="0" borderId="24" xfId="0" applyFont="1" applyBorder="1" applyAlignment="1">
      <alignment horizontal="center" wrapText="1"/>
    </xf>
    <xf numFmtId="49" fontId="36" fillId="2" borderId="31" xfId="0" applyNumberFormat="1" applyFont="1" applyFill="1" applyBorder="1" applyAlignment="1">
      <alignment vertical="top" wrapText="1"/>
    </xf>
    <xf numFmtId="49" fontId="36" fillId="2" borderId="36" xfId="0" applyNumberFormat="1" applyFont="1" applyFill="1" applyBorder="1" applyAlignment="1">
      <alignment vertical="top" wrapText="1"/>
    </xf>
    <xf numFmtId="49" fontId="36" fillId="2" borderId="38" xfId="0" applyNumberFormat="1" applyFont="1" applyFill="1" applyBorder="1" applyAlignment="1">
      <alignment vertical="top" wrapText="1"/>
    </xf>
    <xf numFmtId="0" fontId="31" fillId="0" borderId="0" xfId="0" applyFont="1" applyAlignment="1">
      <alignment horizontal="center"/>
    </xf>
    <xf numFmtId="0" fontId="29" fillId="6" borderId="66" xfId="0" applyFont="1" applyFill="1" applyBorder="1" applyAlignment="1">
      <alignment horizontal="center" vertical="top" wrapText="1"/>
    </xf>
    <xf numFmtId="0" fontId="29" fillId="6" borderId="58" xfId="0" applyFont="1" applyFill="1" applyBorder="1" applyAlignment="1">
      <alignment horizontal="center" vertical="top" wrapText="1"/>
    </xf>
    <xf numFmtId="0" fontId="29" fillId="6" borderId="67" xfId="0" applyFont="1" applyFill="1" applyBorder="1" applyAlignment="1">
      <alignment horizontal="center" vertical="top" wrapText="1"/>
    </xf>
    <xf numFmtId="49" fontId="18" fillId="2" borderId="6" xfId="0" applyNumberFormat="1" applyFont="1" applyFill="1" applyBorder="1" applyAlignment="1">
      <alignment vertical="top"/>
    </xf>
    <xf numFmtId="49" fontId="18" fillId="2" borderId="8" xfId="0" applyNumberFormat="1" applyFont="1" applyFill="1" applyBorder="1" applyAlignment="1">
      <alignment vertical="top"/>
    </xf>
    <xf numFmtId="49" fontId="18" fillId="2" borderId="15" xfId="0" applyNumberFormat="1" applyFont="1" applyFill="1" applyBorder="1" applyAlignment="1">
      <alignment vertical="top"/>
    </xf>
    <xf numFmtId="49" fontId="18" fillId="2" borderId="35" xfId="0" applyNumberFormat="1" applyFont="1" applyFill="1" applyBorder="1" applyAlignment="1">
      <alignment vertical="top"/>
    </xf>
    <xf numFmtId="0" fontId="34" fillId="0" borderId="7" xfId="0" applyFont="1" applyBorder="1" applyAlignment="1">
      <alignment horizontal="center" vertical="center" wrapText="1"/>
    </xf>
    <xf numFmtId="0" fontId="34" fillId="0" borderId="18" xfId="0" applyFont="1" applyBorder="1" applyAlignment="1">
      <alignment horizontal="center" vertical="center" wrapText="1"/>
    </xf>
    <xf numFmtId="0" fontId="34" fillId="0" borderId="9" xfId="0" applyFont="1" applyBorder="1" applyAlignment="1">
      <alignment horizontal="center" vertical="center" wrapText="1"/>
    </xf>
    <xf numFmtId="0" fontId="21" fillId="5" borderId="40" xfId="0" applyFont="1" applyFill="1" applyBorder="1" applyAlignment="1">
      <alignment wrapText="1"/>
    </xf>
    <xf numFmtId="0" fontId="21" fillId="5" borderId="20" xfId="0" applyFont="1" applyFill="1" applyBorder="1" applyAlignment="1">
      <alignment wrapText="1"/>
    </xf>
    <xf numFmtId="0" fontId="21" fillId="5" borderId="63" xfId="0" applyFont="1" applyFill="1" applyBorder="1" applyAlignment="1">
      <alignment wrapText="1"/>
    </xf>
    <xf numFmtId="49" fontId="13" fillId="2" borderId="60" xfId="0" applyNumberFormat="1" applyFont="1" applyFill="1" applyBorder="1" applyAlignment="1">
      <alignment vertical="top"/>
    </xf>
    <xf numFmtId="49" fontId="13" fillId="2" borderId="61" xfId="0" applyNumberFormat="1" applyFont="1" applyFill="1" applyBorder="1" applyAlignment="1">
      <alignment vertical="top"/>
    </xf>
    <xf numFmtId="49" fontId="13" fillId="2" borderId="64" xfId="0" applyNumberFormat="1" applyFont="1" applyFill="1" applyBorder="1" applyAlignment="1">
      <alignment vertical="top"/>
    </xf>
    <xf numFmtId="49" fontId="18" fillId="2" borderId="13" xfId="0" applyNumberFormat="1" applyFont="1" applyFill="1" applyBorder="1" applyAlignment="1">
      <alignment vertical="top"/>
    </xf>
    <xf numFmtId="49" fontId="18" fillId="2" borderId="62" xfId="0" applyNumberFormat="1" applyFont="1" applyFill="1" applyBorder="1" applyAlignment="1">
      <alignment vertical="top"/>
    </xf>
    <xf numFmtId="49" fontId="18" fillId="2" borderId="59" xfId="0" applyNumberFormat="1" applyFont="1" applyFill="1" applyBorder="1" applyAlignment="1">
      <alignment vertical="top"/>
    </xf>
    <xf numFmtId="0" fontId="32" fillId="0" borderId="7" xfId="0" applyFont="1" applyBorder="1" applyAlignment="1">
      <alignment horizontal="center" vertical="center" wrapText="1"/>
    </xf>
    <xf numFmtId="0" fontId="32" fillId="0" borderId="18" xfId="0" applyFont="1" applyBorder="1" applyAlignment="1">
      <alignment horizontal="center" vertical="center" wrapText="1"/>
    </xf>
    <xf numFmtId="0" fontId="32" fillId="0" borderId="9" xfId="0" applyFont="1" applyBorder="1" applyAlignment="1">
      <alignment horizontal="center" vertical="center" wrapText="1"/>
    </xf>
    <xf numFmtId="0" fontId="51" fillId="0" borderId="0" xfId="0" applyFont="1" applyAlignment="1">
      <alignment horizontal="center" wrapText="1"/>
    </xf>
    <xf numFmtId="0" fontId="51" fillId="0" borderId="19" xfId="0" applyFont="1" applyBorder="1" applyAlignment="1">
      <alignment horizontal="left" vertical="top" wrapText="1"/>
    </xf>
    <xf numFmtId="0" fontId="51" fillId="0" borderId="24" xfId="0" applyFont="1" applyBorder="1" applyAlignment="1">
      <alignment horizontal="left" vertical="top" wrapText="1"/>
    </xf>
    <xf numFmtId="0" fontId="51" fillId="0" borderId="21" xfId="0" applyFont="1" applyBorder="1" applyAlignment="1">
      <alignment horizontal="left" vertical="top" wrapText="1"/>
    </xf>
    <xf numFmtId="0" fontId="51" fillId="0" borderId="19" xfId="0" applyFont="1" applyBorder="1" applyAlignment="1">
      <alignment horizontal="center" vertical="top" wrapText="1"/>
    </xf>
    <xf numFmtId="0" fontId="51" fillId="0" borderId="24" xfId="0" applyFont="1" applyBorder="1" applyAlignment="1">
      <alignment horizontal="center" vertical="top" wrapText="1"/>
    </xf>
    <xf numFmtId="0" fontId="51" fillId="0" borderId="21" xfId="0" applyFont="1" applyBorder="1" applyAlignment="1">
      <alignment horizontal="center" vertical="top" wrapText="1"/>
    </xf>
  </cellXfs>
  <cellStyles count="23">
    <cellStyle name="Comma 2" xfId="1" xr:uid="{00000000-0005-0000-0000-000000000000}"/>
    <cellStyle name="Comma 3" xfId="2" xr:uid="{00000000-0005-0000-0000-000001000000}"/>
    <cellStyle name="Excel Built-in Normal" xfId="3" xr:uid="{00000000-0005-0000-0000-000002000000}"/>
    <cellStyle name="Explanatory Text" xfId="4" xr:uid="{00000000-0005-0000-0000-000003000000}"/>
    <cellStyle name="Good" xfId="5" xr:uid="{00000000-0005-0000-0000-000004000000}"/>
    <cellStyle name="Heading 1" xfId="6" xr:uid="{00000000-0005-0000-0000-000005000000}"/>
    <cellStyle name="Heading 2" xfId="7" xr:uid="{00000000-0005-0000-0000-000006000000}"/>
    <cellStyle name="Heading 3" xfId="8" xr:uid="{00000000-0005-0000-0000-000007000000}"/>
    <cellStyle name="Heading 4" xfId="9" xr:uid="{00000000-0005-0000-0000-000008000000}"/>
    <cellStyle name="Įprastas" xfId="0" builtinId="0"/>
    <cellStyle name="Kablelis" xfId="21" builtinId="3"/>
    <cellStyle name="Normal 2" xfId="10" xr:uid="{00000000-0005-0000-0000-00000B000000}"/>
    <cellStyle name="Normal 3" xfId="11" xr:uid="{00000000-0005-0000-0000-00000C000000}"/>
    <cellStyle name="Normal_1234LENT" xfId="12" xr:uid="{00000000-0005-0000-0000-00000D000000}"/>
    <cellStyle name="Output" xfId="13" xr:uid="{00000000-0005-0000-0000-00000E000000}"/>
    <cellStyle name="Paprastas 2" xfId="14" xr:uid="{00000000-0005-0000-0000-00000F000000}"/>
    <cellStyle name="Paprastas 3" xfId="15" xr:uid="{00000000-0005-0000-0000-000010000000}"/>
    <cellStyle name="Paprastas_Aplinkos" xfId="16" xr:uid="{00000000-0005-0000-0000-000011000000}"/>
    <cellStyle name="Procentai" xfId="22" builtinId="5"/>
    <cellStyle name="Title" xfId="17" xr:uid="{00000000-0005-0000-0000-000013000000}"/>
    <cellStyle name="Total" xfId="18" xr:uid="{00000000-0005-0000-0000-000014000000}"/>
    <cellStyle name="Warning Text" xfId="19" xr:uid="{00000000-0005-0000-0000-000015000000}"/>
    <cellStyle name="Обычный 2" xfId="20" xr:uid="{00000000-0005-0000-0000-00001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E6E6E6"/>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B3B3B3"/>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lt-L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'Programų vykdymas 2023 (VI)'!$Q$8</c:f>
              <c:strCache>
                <c:ptCount val="1"/>
                <c:pt idx="0">
                  <c:v>2023-02-02 sprendimu 
Nr. TS-17  patvirtintas planas</c:v>
                </c:pt>
              </c:strCache>
            </c:strRef>
          </c:tx>
          <c:spPr>
            <a:solidFill>
              <a:schemeClr val="accent1"/>
            </a:solidFill>
            <a:ln>
              <a:noFill/>
            </a:ln>
            <a:effectLst/>
          </c:spPr>
          <c:invertIfNegative val="0"/>
          <c:cat>
            <c:multiLvlStrRef>
              <c:f>'Programų vykdymas 2023 (VI)'!$R$7:$AA$7</c:f>
            </c:multiLvlStrRef>
          </c:cat>
          <c:val>
            <c:numRef>
              <c:f>'Programų vykdymas 2023 (VI)'!$R$8:$AA$8</c:f>
            </c:numRef>
          </c:val>
          <c:extLst>
            <c:ext xmlns:c16="http://schemas.microsoft.com/office/drawing/2014/chart" uri="{C3380CC4-5D6E-409C-BE32-E72D297353CC}">
              <c16:uniqueId val="{00000000-7F33-4DC7-82FD-965CB9647054}"/>
            </c:ext>
          </c:extLst>
        </c:ser>
        <c:ser>
          <c:idx val="1"/>
          <c:order val="1"/>
          <c:tx>
            <c:strRef>
              <c:f>'Programų vykdymas 2023 (VI)'!$Q$9</c:f>
              <c:strCache>
                <c:ptCount val="1"/>
                <c:pt idx="0">
                  <c:v>Planas
(įskaitant patikslinimus)</c:v>
                </c:pt>
              </c:strCache>
            </c:strRef>
          </c:tx>
          <c:spPr>
            <a:solidFill>
              <a:schemeClr val="accent2"/>
            </a:solidFill>
            <a:ln>
              <a:noFill/>
            </a:ln>
            <a:effectLst/>
          </c:spPr>
          <c:invertIfNegative val="0"/>
          <c:cat>
            <c:multiLvlStrRef>
              <c:f>'Programų vykdymas 2023 (VI)'!$R$7:$AA$7</c:f>
            </c:multiLvlStrRef>
          </c:cat>
          <c:val>
            <c:numRef>
              <c:f>'Programų vykdymas 2023 (VI)'!$R$9:$AA$9</c:f>
            </c:numRef>
          </c:val>
          <c:extLst>
            <c:ext xmlns:c16="http://schemas.microsoft.com/office/drawing/2014/chart" uri="{C3380CC4-5D6E-409C-BE32-E72D297353CC}">
              <c16:uniqueId val="{00000001-7F33-4DC7-82FD-965CB9647054}"/>
            </c:ext>
          </c:extLst>
        </c:ser>
        <c:ser>
          <c:idx val="2"/>
          <c:order val="2"/>
          <c:tx>
            <c:strRef>
              <c:f>'Programų vykdymas 2023 (VI)'!$Q$10</c:f>
              <c:strCache>
                <c:ptCount val="1"/>
                <c:pt idx="0">
                  <c:v>2023 m. plano vykdymas </c:v>
                </c:pt>
              </c:strCache>
            </c:strRef>
          </c:tx>
          <c:spPr>
            <a:solidFill>
              <a:schemeClr val="accent3"/>
            </a:solidFill>
            <a:ln>
              <a:noFill/>
            </a:ln>
            <a:effectLst/>
          </c:spPr>
          <c:invertIfNegative val="0"/>
          <c:cat>
            <c:multiLvlStrRef>
              <c:f>'Programų vykdymas 2023 (VI)'!$R$7:$AA$7</c:f>
            </c:multiLvlStrRef>
          </c:cat>
          <c:val>
            <c:numRef>
              <c:f>'Programų vykdymas 2023 (VI)'!$R$10:$AA$10</c:f>
            </c:numRef>
          </c:val>
          <c:extLst>
            <c:ext xmlns:c16="http://schemas.microsoft.com/office/drawing/2014/chart" uri="{C3380CC4-5D6E-409C-BE32-E72D297353CC}">
              <c16:uniqueId val="{00000002-7F33-4DC7-82FD-965CB9647054}"/>
            </c:ext>
          </c:extLst>
        </c:ser>
        <c:ser>
          <c:idx val="3"/>
          <c:order val="3"/>
          <c:tx>
            <c:strRef>
              <c:f>'Programų vykdymas 2023 (VI)'!$Q$11</c:f>
              <c:strCache>
                <c:ptCount val="1"/>
              </c:strCache>
            </c:strRef>
          </c:tx>
          <c:spPr>
            <a:solidFill>
              <a:schemeClr val="accent4"/>
            </a:solidFill>
            <a:ln>
              <a:noFill/>
            </a:ln>
            <a:effectLst/>
          </c:spPr>
          <c:invertIfNegative val="0"/>
          <c:cat>
            <c:multiLvlStrRef>
              <c:f>'Programų vykdymas 2023 (VI)'!$R$7:$AA$7</c:f>
            </c:multiLvlStrRef>
          </c:cat>
          <c:val>
            <c:numRef>
              <c:f>'Programų vykdymas 2023 (VI)'!$R$11:$AA$11</c:f>
            </c:numRef>
          </c:val>
          <c:extLst>
            <c:ext xmlns:c16="http://schemas.microsoft.com/office/drawing/2014/chart" uri="{C3380CC4-5D6E-409C-BE32-E72D297353CC}">
              <c16:uniqueId val="{00000003-7F33-4DC7-82FD-965CB9647054}"/>
            </c:ext>
          </c:extLst>
        </c:ser>
        <c:dLbls>
          <c:showLegendKey val="0"/>
          <c:showVal val="0"/>
          <c:showCatName val="0"/>
          <c:showSerName val="0"/>
          <c:showPercent val="0"/>
          <c:showBubbleSize val="0"/>
        </c:dLbls>
        <c:gapWidth val="219"/>
        <c:overlap val="-27"/>
        <c:axId val="1233494560"/>
        <c:axId val="119381264"/>
        <c:extLst>
          <c:ext xmlns:c15="http://schemas.microsoft.com/office/drawing/2012/chart" uri="{02D57815-91ED-43cb-92C2-25804820EDAC}">
            <c15:filteredBarSeries>
              <c15:ser>
                <c:idx val="4"/>
                <c:order val="4"/>
                <c:tx>
                  <c:strRef>
                    <c:extLst>
                      <c:ext uri="{02D57815-91ED-43cb-92C2-25804820EDAC}">
                        <c15:formulaRef>
                          <c15:sqref>'Programų vykdymas 2023 (VI)'!$Q$12</c15:sqref>
                        </c15:formulaRef>
                      </c:ext>
                    </c:extLst>
                    <c:strCache>
                      <c:ptCount val="1"/>
                    </c:strCache>
                  </c:strRef>
                </c:tx>
                <c:spPr>
                  <a:solidFill>
                    <a:schemeClr val="accent5"/>
                  </a:solidFill>
                  <a:ln>
                    <a:noFill/>
                  </a:ln>
                  <a:effectLst/>
                </c:spPr>
                <c:invertIfNegative val="0"/>
                <c:cat>
                  <c:multiLvlStrRef>
                    <c:extLst>
                      <c:ext uri="{02D57815-91ED-43cb-92C2-25804820EDAC}">
                        <c15:formulaRef>
                          <c15:sqref>'Programų vykdymas 2023 (VI)'!$R$7:$AA$7</c15:sqref>
                        </c15:formulaRef>
                      </c:ext>
                    </c:extLst>
                  </c:multiLvlStrRef>
                </c:cat>
                <c:val>
                  <c:numRef>
                    <c:extLst>
                      <c:ext uri="{02D57815-91ED-43cb-92C2-25804820EDAC}">
                        <c15:formulaRef>
                          <c15:sqref>'Programų vykdymas 2023 (VI)'!$R$12:$AA$12</c15:sqref>
                        </c15:formulaRef>
                      </c:ext>
                    </c:extLst>
                  </c:numRef>
                </c:val>
                <c:extLst>
                  <c:ext xmlns:c16="http://schemas.microsoft.com/office/drawing/2014/chart" uri="{C3380CC4-5D6E-409C-BE32-E72D297353CC}">
                    <c16:uniqueId val="{00000004-7F33-4DC7-82FD-965CB9647054}"/>
                  </c:ext>
                </c:extLst>
              </c15:ser>
            </c15:filteredBarSeries>
          </c:ext>
        </c:extLst>
      </c:barChart>
      <c:catAx>
        <c:axId val="12334945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19381264"/>
        <c:crosses val="autoZero"/>
        <c:auto val="1"/>
        <c:lblAlgn val="ctr"/>
        <c:lblOffset val="100"/>
        <c:noMultiLvlLbl val="0"/>
      </c:catAx>
      <c:valAx>
        <c:axId val="119381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2334945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16</xdr:col>
      <xdr:colOff>741947</xdr:colOff>
      <xdr:row>12</xdr:row>
      <xdr:rowOff>290764</xdr:rowOff>
    </xdr:from>
    <xdr:to>
      <xdr:col>25</xdr:col>
      <xdr:colOff>290762</xdr:colOff>
      <xdr:row>28</xdr:row>
      <xdr:rowOff>190500</xdr:rowOff>
    </xdr:to>
    <xdr:graphicFrame macro="">
      <xdr:nvGraphicFramePr>
        <xdr:cNvPr id="2" name="Diagrama 1">
          <a:extLst>
            <a:ext uri="{FF2B5EF4-FFF2-40B4-BE49-F238E27FC236}">
              <a16:creationId xmlns:a16="http://schemas.microsoft.com/office/drawing/2014/main" id="{4FFB960C-3298-17AF-93D1-1C9198A882F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600807</xdr:colOff>
      <xdr:row>2</xdr:row>
      <xdr:rowOff>684626</xdr:rowOff>
    </xdr:from>
    <xdr:to>
      <xdr:col>11</xdr:col>
      <xdr:colOff>14654</xdr:colOff>
      <xdr:row>5</xdr:row>
      <xdr:rowOff>32235</xdr:rowOff>
    </xdr:to>
    <xdr:pic>
      <xdr:nvPicPr>
        <xdr:cNvPr id="4" name="Paveikslėlis 3">
          <a:extLst>
            <a:ext uri="{FF2B5EF4-FFF2-40B4-BE49-F238E27FC236}">
              <a16:creationId xmlns:a16="http://schemas.microsoft.com/office/drawing/2014/main" id="{9D5A2AF1-59E9-6105-DA5A-CF3EC0866B6A}"/>
            </a:ext>
          </a:extLst>
        </xdr:cNvPr>
        <xdr:cNvPicPr>
          <a:picLocks noChangeAspect="1"/>
        </xdr:cNvPicPr>
      </xdr:nvPicPr>
      <xdr:blipFill>
        <a:blip xmlns:r="http://schemas.openxmlformats.org/officeDocument/2006/relationships" r:embed="rId2"/>
        <a:stretch>
          <a:fillRect/>
        </a:stretch>
      </xdr:blipFill>
      <xdr:spPr>
        <a:xfrm>
          <a:off x="1208942" y="1102261"/>
          <a:ext cx="6674827" cy="22930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Inga\AppData\Local\Microsoft\Windows\INetCache\Content.Outlook\7EZS7QXM\2024-01-25%20veiklos%20planas%20i&#353;%20(atrakintas%20koreguotas%20Kontoros).xlsx" TargetMode="External"/><Relationship Id="rId1" Type="http://schemas.openxmlformats.org/officeDocument/2006/relationships/externalLinkPath" Target="/Users/Inga/AppData/Local/Microsoft/Windows/INetCache/Content.Outlook/7EZS7QXM/2024-01-25%20veiklos%20planas%20i&#353;%20(atrakintas%20koreguotas%20Kontor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 skyrius "/>
      <sheetName val="II skyrius"/>
      <sheetName val="III skyrius"/>
      <sheetName val="IV skyrius. Programos"/>
      <sheetName val="Lapas1"/>
      <sheetName val="1 programa "/>
      <sheetName val="2 programa "/>
      <sheetName val="ĮV-E-123 stebėsenos rodikliai"/>
      <sheetName val="3 programa"/>
      <sheetName val="4 programa"/>
      <sheetName val="5 programa"/>
      <sheetName val="6 programa"/>
      <sheetName val="7 programa"/>
      <sheetName val="8 programa"/>
      <sheetName val="9 programa"/>
      <sheetName val="10 programa"/>
      <sheetName val="V skyrius VŠĮ+UAB rodikliai"/>
      <sheetName val="VI skyrius. Kita svarbi info-AN"/>
      <sheetName val="Prioritetai"/>
      <sheetName val="Suvestinė pagal FŠ"/>
      <sheetName val="Vertinimo kriterijai"/>
      <sheetName val="Lapas2"/>
      <sheetName val="Lapas3"/>
      <sheetName val="VERTINIMO KRITERIJAI (2 lentelė"/>
      <sheetName val="Lesu analize"/>
    </sheetNames>
    <sheetDataSet>
      <sheetData sheetId="0" refreshError="1"/>
      <sheetData sheetId="1">
        <row r="10">
          <cell r="D10" t="str">
            <v xml:space="preserve">Gerinti  investicinės aplinkos patrauklumą ir didinti ekonominį potencialą </v>
          </cell>
        </row>
        <row r="18">
          <cell r="D18" t="str">
            <v xml:space="preserve"> Didinti turistinį savivaldybės patrauklumą, teikiant viešąsias paslaugas bei plėtojant viešąją turizmo infrastruktūrą</v>
          </cell>
        </row>
        <row r="22">
          <cell r="D22" t="str">
            <v xml:space="preserve"> Tikslingai naudojant švietimui skirtas lėšas bei kryptingai tobulinant darbuotojų kompetencijas, kiekvienam besimokančiajam sukurti lygiavertes ir šiuolaikiškas kokybiško ugdymo(si) sąlygas, lemiančias geresnius mokinių pasiekimus, optimalią, integracinę, darniai ir racionaliai veikiančią, nuolat atsinaujinančią savivaldybės švietimo sistemą</v>
          </cell>
        </row>
        <row r="30">
          <cell r="D30" t="str">
            <v>Sudaryti sąlygas visų amžiaus grupių ir galimybių visaginiečiams jų sveikai gyvensenai, fiziniam aktyvumui, sportavimui bei siekti, kad tai taptų savivaldybės bendruomenės gyvensenos dalimi</v>
          </cell>
        </row>
        <row r="36">
          <cell r="D36" t="str">
            <v>Įgyvendinti valstybinę kultūros politiką ir formuoti regioninį identitetą, stiprinti pilietiškumą ir bendruomenės į(si)traukimą į kūrybines, kultūrines veiklas</v>
          </cell>
        </row>
        <row r="43">
          <cell r="D43" t="str">
            <v>Stiprinti ir puoselėti gyventojų sveikatą</v>
          </cell>
        </row>
        <row r="47">
          <cell r="D47" t="str">
            <v>Pagerinti  ir plėsti socialinių paslaugų kokybę ir prieinamumą bei sukurti jų plėtrai reikalingą  infrastruktūrą</v>
          </cell>
        </row>
        <row r="49">
          <cell r="D49" t="str">
            <v>Sudaryti galimybes jaunimui atvykti, dirbti ir gyventi Visagino savivaldybėje</v>
          </cell>
        </row>
        <row r="52">
          <cell r="D52" t="str">
            <v xml:space="preserve">Gyventojų socialinio, pilietinio aktyvumo, dalyvavimo savanoriškoje, visuomeninėje veikloje, tarpusavio pasitikėjimo, bendruomenės socialinės atsakomybės ir įsitraukimo didinimas  </v>
          </cell>
        </row>
        <row r="56">
          <cell r="D56" t="str">
            <v>Tobulinti viešojo valdymo sistemą, didinti jos efektyvumą ir atvirumą</v>
          </cell>
        </row>
        <row r="64">
          <cell r="D64" t="str">
            <v>Vykdyti kryptingą darnaus judumo politiką savivaldybėje</v>
          </cell>
        </row>
        <row r="65">
          <cell r="D65" t="str">
            <v>Skatinti bemotorio transporto pasirinkimą ir pėsčiųjų judumą</v>
          </cell>
        </row>
        <row r="68">
          <cell r="D68" t="str">
            <v>Skatinti tvarų miesto teritorijos vystymą</v>
          </cell>
        </row>
        <row r="72">
          <cell r="D72" t="str">
            <v>Skatinti žaliąją savivaldybės plėtrą</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FDA78-E946-46A1-80F3-B0E5C46322F2}">
  <sheetPr codeName="Lapas2">
    <pageSetUpPr fitToPage="1"/>
  </sheetPr>
  <dimension ref="B1:L41"/>
  <sheetViews>
    <sheetView tabSelected="1" topLeftCell="A10" workbookViewId="0">
      <selection activeCell="B17" sqref="B17:L37"/>
    </sheetView>
  </sheetViews>
  <sheetFormatPr defaultRowHeight="12.45"/>
  <cols>
    <col min="7" max="7" width="7.3046875" customWidth="1"/>
    <col min="8" max="8" width="7" customWidth="1"/>
    <col min="11" max="11" width="13" customWidth="1"/>
    <col min="12" max="12" width="2.3828125" customWidth="1"/>
  </cols>
  <sheetData>
    <row r="1" spans="2:12" ht="12.9" thickBot="1"/>
    <row r="2" spans="2:12" ht="50.25" customHeight="1">
      <c r="B2" s="362"/>
      <c r="C2" s="363"/>
      <c r="D2" s="363"/>
      <c r="E2" s="363"/>
      <c r="F2" s="363"/>
      <c r="G2" s="363"/>
      <c r="H2" s="363"/>
      <c r="I2" s="1562" t="s">
        <v>3712</v>
      </c>
      <c r="J2" s="1562"/>
      <c r="K2" s="1562"/>
      <c r="L2" s="1563"/>
    </row>
    <row r="3" spans="2:12">
      <c r="B3" s="364"/>
      <c r="L3" s="365"/>
    </row>
    <row r="4" spans="2:12">
      <c r="B4" s="364"/>
      <c r="L4" s="365"/>
    </row>
    <row r="5" spans="2:12">
      <c r="B5" s="1564"/>
      <c r="C5" s="1565"/>
      <c r="D5" s="1565"/>
      <c r="E5" s="1565"/>
      <c r="F5" s="1565"/>
      <c r="G5" s="1565"/>
      <c r="H5" s="1565"/>
      <c r="I5" s="1565"/>
      <c r="J5" s="1565"/>
      <c r="K5" s="1565"/>
      <c r="L5" s="1566"/>
    </row>
    <row r="6" spans="2:12" ht="12.9" thickBot="1">
      <c r="B6" s="391"/>
      <c r="C6" s="660"/>
      <c r="D6" s="660"/>
      <c r="E6" s="660"/>
      <c r="F6" s="660"/>
      <c r="G6" s="660"/>
      <c r="H6" s="660"/>
      <c r="I6" s="660"/>
      <c r="J6" s="660"/>
      <c r="K6" s="660"/>
      <c r="L6" s="365"/>
    </row>
    <row r="7" spans="2:12" ht="12.9" thickBot="1">
      <c r="B7" s="1567" t="s">
        <v>3598</v>
      </c>
      <c r="C7" s="1567"/>
      <c r="D7" s="1567"/>
      <c r="E7" s="1567"/>
      <c r="F7" s="1567"/>
      <c r="G7" s="1567"/>
      <c r="H7" s="1567"/>
      <c r="I7" s="1567"/>
      <c r="J7" s="1567"/>
      <c r="K7" s="1567"/>
      <c r="L7" s="1567"/>
    </row>
    <row r="8" spans="2:12" ht="12.9" thickBot="1">
      <c r="B8" s="1567"/>
      <c r="C8" s="1567"/>
      <c r="D8" s="1567"/>
      <c r="E8" s="1567"/>
      <c r="F8" s="1567"/>
      <c r="G8" s="1567"/>
      <c r="H8" s="1567"/>
      <c r="I8" s="1567"/>
      <c r="J8" s="1567"/>
      <c r="K8" s="1567"/>
      <c r="L8" s="1567"/>
    </row>
    <row r="9" spans="2:12" ht="12.9" thickBot="1">
      <c r="B9" s="1567"/>
      <c r="C9" s="1567"/>
      <c r="D9" s="1567"/>
      <c r="E9" s="1567"/>
      <c r="F9" s="1567"/>
      <c r="G9" s="1567"/>
      <c r="H9" s="1567"/>
      <c r="I9" s="1567"/>
      <c r="J9" s="1567"/>
      <c r="K9" s="1567"/>
      <c r="L9" s="1567"/>
    </row>
    <row r="10" spans="2:12" ht="12.9" thickBot="1">
      <c r="B10" s="1567"/>
      <c r="C10" s="1567"/>
      <c r="D10" s="1567"/>
      <c r="E10" s="1567"/>
      <c r="F10" s="1567"/>
      <c r="G10" s="1567"/>
      <c r="H10" s="1567"/>
      <c r="I10" s="1567"/>
      <c r="J10" s="1567"/>
      <c r="K10" s="1567"/>
      <c r="L10" s="1567"/>
    </row>
    <row r="11" spans="2:12" ht="12.9" thickBot="1">
      <c r="B11" s="1567"/>
      <c r="C11" s="1567"/>
      <c r="D11" s="1567"/>
      <c r="E11" s="1567"/>
      <c r="F11" s="1567"/>
      <c r="G11" s="1567"/>
      <c r="H11" s="1567"/>
      <c r="I11" s="1567"/>
      <c r="J11" s="1567"/>
      <c r="K11" s="1567"/>
      <c r="L11" s="1567"/>
    </row>
    <row r="12" spans="2:12" ht="12.9" thickBot="1">
      <c r="B12" s="1568" t="s">
        <v>3597</v>
      </c>
      <c r="C12" s="1568"/>
      <c r="D12" s="1568"/>
      <c r="E12" s="1568"/>
      <c r="F12" s="1568"/>
      <c r="G12" s="1568"/>
      <c r="H12" s="1568"/>
      <c r="I12" s="1568"/>
      <c r="J12" s="1568"/>
      <c r="K12" s="1568"/>
      <c r="L12" s="1568"/>
    </row>
    <row r="13" spans="2:12" ht="12.9" thickBot="1">
      <c r="B13" s="1568"/>
      <c r="C13" s="1568"/>
      <c r="D13" s="1568"/>
      <c r="E13" s="1568"/>
      <c r="F13" s="1568"/>
      <c r="G13" s="1568"/>
      <c r="H13" s="1568"/>
      <c r="I13" s="1568"/>
      <c r="J13" s="1568"/>
      <c r="K13" s="1568"/>
      <c r="L13" s="1568"/>
    </row>
    <row r="14" spans="2:12" ht="12.9" hidden="1" thickBot="1">
      <c r="B14" s="1568"/>
      <c r="C14" s="1568"/>
      <c r="D14" s="1568"/>
      <c r="E14" s="1568"/>
      <c r="F14" s="1568"/>
      <c r="G14" s="1568"/>
      <c r="H14" s="1568"/>
      <c r="I14" s="1568"/>
      <c r="J14" s="1568"/>
      <c r="K14" s="1568"/>
      <c r="L14" s="1568"/>
    </row>
    <row r="15" spans="2:12" ht="12.9" hidden="1" thickBot="1">
      <c r="B15" s="1568"/>
      <c r="C15" s="1568"/>
      <c r="D15" s="1568"/>
      <c r="E15" s="1568"/>
      <c r="F15" s="1568"/>
      <c r="G15" s="1568"/>
      <c r="H15" s="1568"/>
      <c r="I15" s="1568"/>
      <c r="J15" s="1568"/>
      <c r="K15" s="1568"/>
      <c r="L15" s="1568"/>
    </row>
    <row r="16" spans="2:12" ht="12.9" hidden="1" thickBot="1">
      <c r="B16" s="1568"/>
      <c r="C16" s="1568"/>
      <c r="D16" s="1568"/>
      <c r="E16" s="1568"/>
      <c r="F16" s="1568"/>
      <c r="G16" s="1568"/>
      <c r="H16" s="1568"/>
      <c r="I16" s="1568"/>
      <c r="J16" s="1568"/>
      <c r="K16" s="1568"/>
      <c r="L16" s="1568"/>
    </row>
    <row r="17" spans="2:12" ht="48.75" customHeight="1">
      <c r="B17" s="1569" t="s">
        <v>3734</v>
      </c>
      <c r="C17" s="1570"/>
      <c r="D17" s="1570"/>
      <c r="E17" s="1570"/>
      <c r="F17" s="1570"/>
      <c r="G17" s="1570"/>
      <c r="H17" s="1570"/>
      <c r="I17" s="1570"/>
      <c r="J17" s="1570"/>
      <c r="K17" s="1570"/>
      <c r="L17" s="1571"/>
    </row>
    <row r="18" spans="2:12">
      <c r="B18" s="1572"/>
      <c r="C18" s="1573"/>
      <c r="D18" s="1573"/>
      <c r="E18" s="1573"/>
      <c r="F18" s="1573"/>
      <c r="G18" s="1573"/>
      <c r="H18" s="1573"/>
      <c r="I18" s="1573"/>
      <c r="J18" s="1573"/>
      <c r="K18" s="1573"/>
      <c r="L18" s="1574"/>
    </row>
    <row r="19" spans="2:12">
      <c r="B19" s="1572"/>
      <c r="C19" s="1573"/>
      <c r="D19" s="1573"/>
      <c r="E19" s="1573"/>
      <c r="F19" s="1573"/>
      <c r="G19" s="1573"/>
      <c r="H19" s="1573"/>
      <c r="I19" s="1573"/>
      <c r="J19" s="1573"/>
      <c r="K19" s="1573"/>
      <c r="L19" s="1574"/>
    </row>
    <row r="20" spans="2:12">
      <c r="B20" s="1572"/>
      <c r="C20" s="1573"/>
      <c r="D20" s="1573"/>
      <c r="E20" s="1573"/>
      <c r="F20" s="1573"/>
      <c r="G20" s="1573"/>
      <c r="H20" s="1573"/>
      <c r="I20" s="1573"/>
      <c r="J20" s="1573"/>
      <c r="K20" s="1573"/>
      <c r="L20" s="1574"/>
    </row>
    <row r="21" spans="2:12">
      <c r="B21" s="1572"/>
      <c r="C21" s="1573"/>
      <c r="D21" s="1573"/>
      <c r="E21" s="1573"/>
      <c r="F21" s="1573"/>
      <c r="G21" s="1573"/>
      <c r="H21" s="1573"/>
      <c r="I21" s="1573"/>
      <c r="J21" s="1573"/>
      <c r="K21" s="1573"/>
      <c r="L21" s="1574"/>
    </row>
    <row r="22" spans="2:12">
      <c r="B22" s="1572"/>
      <c r="C22" s="1573"/>
      <c r="D22" s="1573"/>
      <c r="E22" s="1573"/>
      <c r="F22" s="1573"/>
      <c r="G22" s="1573"/>
      <c r="H22" s="1573"/>
      <c r="I22" s="1573"/>
      <c r="J22" s="1573"/>
      <c r="K22" s="1573"/>
      <c r="L22" s="1574"/>
    </row>
    <row r="23" spans="2:12">
      <c r="B23" s="1572"/>
      <c r="C23" s="1573"/>
      <c r="D23" s="1573"/>
      <c r="E23" s="1573"/>
      <c r="F23" s="1573"/>
      <c r="G23" s="1573"/>
      <c r="H23" s="1573"/>
      <c r="I23" s="1573"/>
      <c r="J23" s="1573"/>
      <c r="K23" s="1573"/>
      <c r="L23" s="1574"/>
    </row>
    <row r="24" spans="2:12">
      <c r="B24" s="1572"/>
      <c r="C24" s="1573"/>
      <c r="D24" s="1573"/>
      <c r="E24" s="1573"/>
      <c r="F24" s="1573"/>
      <c r="G24" s="1573"/>
      <c r="H24" s="1573"/>
      <c r="I24" s="1573"/>
      <c r="J24" s="1573"/>
      <c r="K24" s="1573"/>
      <c r="L24" s="1574"/>
    </row>
    <row r="25" spans="2:12">
      <c r="B25" s="1572"/>
      <c r="C25" s="1573"/>
      <c r="D25" s="1573"/>
      <c r="E25" s="1573"/>
      <c r="F25" s="1573"/>
      <c r="G25" s="1573"/>
      <c r="H25" s="1573"/>
      <c r="I25" s="1573"/>
      <c r="J25" s="1573"/>
      <c r="K25" s="1573"/>
      <c r="L25" s="1574"/>
    </row>
    <row r="26" spans="2:12">
      <c r="B26" s="1572"/>
      <c r="C26" s="1573"/>
      <c r="D26" s="1573"/>
      <c r="E26" s="1573"/>
      <c r="F26" s="1573"/>
      <c r="G26" s="1573"/>
      <c r="H26" s="1573"/>
      <c r="I26" s="1573"/>
      <c r="J26" s="1573"/>
      <c r="K26" s="1573"/>
      <c r="L26" s="1574"/>
    </row>
    <row r="27" spans="2:12">
      <c r="B27" s="1572"/>
      <c r="C27" s="1573"/>
      <c r="D27" s="1573"/>
      <c r="E27" s="1573"/>
      <c r="F27" s="1573"/>
      <c r="G27" s="1573"/>
      <c r="H27" s="1573"/>
      <c r="I27" s="1573"/>
      <c r="J27" s="1573"/>
      <c r="K27" s="1573"/>
      <c r="L27" s="1574"/>
    </row>
    <row r="28" spans="2:12">
      <c r="B28" s="1572"/>
      <c r="C28" s="1573"/>
      <c r="D28" s="1573"/>
      <c r="E28" s="1573"/>
      <c r="F28" s="1573"/>
      <c r="G28" s="1573"/>
      <c r="H28" s="1573"/>
      <c r="I28" s="1573"/>
      <c r="J28" s="1573"/>
      <c r="K28" s="1573"/>
      <c r="L28" s="1574"/>
    </row>
    <row r="29" spans="2:12">
      <c r="B29" s="1572"/>
      <c r="C29" s="1573"/>
      <c r="D29" s="1573"/>
      <c r="E29" s="1573"/>
      <c r="F29" s="1573"/>
      <c r="G29" s="1573"/>
      <c r="H29" s="1573"/>
      <c r="I29" s="1573"/>
      <c r="J29" s="1573"/>
      <c r="K29" s="1573"/>
      <c r="L29" s="1574"/>
    </row>
    <row r="30" spans="2:12">
      <c r="B30" s="1572"/>
      <c r="C30" s="1573"/>
      <c r="D30" s="1573"/>
      <c r="E30" s="1573"/>
      <c r="F30" s="1573"/>
      <c r="G30" s="1573"/>
      <c r="H30" s="1573"/>
      <c r="I30" s="1573"/>
      <c r="J30" s="1573"/>
      <c r="K30" s="1573"/>
      <c r="L30" s="1574"/>
    </row>
    <row r="31" spans="2:12">
      <c r="B31" s="1572"/>
      <c r="C31" s="1573"/>
      <c r="D31" s="1573"/>
      <c r="E31" s="1573"/>
      <c r="F31" s="1573"/>
      <c r="G31" s="1573"/>
      <c r="H31" s="1573"/>
      <c r="I31" s="1573"/>
      <c r="J31" s="1573"/>
      <c r="K31" s="1573"/>
      <c r="L31" s="1574"/>
    </row>
    <row r="32" spans="2:12">
      <c r="B32" s="1572"/>
      <c r="C32" s="1573"/>
      <c r="D32" s="1573"/>
      <c r="E32" s="1573"/>
      <c r="F32" s="1573"/>
      <c r="G32" s="1573"/>
      <c r="H32" s="1573"/>
      <c r="I32" s="1573"/>
      <c r="J32" s="1573"/>
      <c r="K32" s="1573"/>
      <c r="L32" s="1574"/>
    </row>
    <row r="33" spans="2:12">
      <c r="B33" s="1572"/>
      <c r="C33" s="1573"/>
      <c r="D33" s="1573"/>
      <c r="E33" s="1573"/>
      <c r="F33" s="1573"/>
      <c r="G33" s="1573"/>
      <c r="H33" s="1573"/>
      <c r="I33" s="1573"/>
      <c r="J33" s="1573"/>
      <c r="K33" s="1573"/>
      <c r="L33" s="1574"/>
    </row>
    <row r="34" spans="2:12">
      <c r="B34" s="1572"/>
      <c r="C34" s="1573"/>
      <c r="D34" s="1573"/>
      <c r="E34" s="1573"/>
      <c r="F34" s="1573"/>
      <c r="G34" s="1573"/>
      <c r="H34" s="1573"/>
      <c r="I34" s="1573"/>
      <c r="J34" s="1573"/>
      <c r="K34" s="1573"/>
      <c r="L34" s="1574"/>
    </row>
    <row r="35" spans="2:12">
      <c r="B35" s="1572"/>
      <c r="C35" s="1573"/>
      <c r="D35" s="1573"/>
      <c r="E35" s="1573"/>
      <c r="F35" s="1573"/>
      <c r="G35" s="1573"/>
      <c r="H35" s="1573"/>
      <c r="I35" s="1573"/>
      <c r="J35" s="1573"/>
      <c r="K35" s="1573"/>
      <c r="L35" s="1574"/>
    </row>
    <row r="36" spans="2:12">
      <c r="B36" s="1572"/>
      <c r="C36" s="1573"/>
      <c r="D36" s="1573"/>
      <c r="E36" s="1573"/>
      <c r="F36" s="1573"/>
      <c r="G36" s="1573"/>
      <c r="H36" s="1573"/>
      <c r="I36" s="1573"/>
      <c r="J36" s="1573"/>
      <c r="K36" s="1573"/>
      <c r="L36" s="1574"/>
    </row>
    <row r="37" spans="2:12" ht="48" customHeight="1">
      <c r="B37" s="1572"/>
      <c r="C37" s="1573"/>
      <c r="D37" s="1573"/>
      <c r="E37" s="1573"/>
      <c r="F37" s="1573"/>
      <c r="G37" s="1573"/>
      <c r="H37" s="1573"/>
      <c r="I37" s="1573"/>
      <c r="J37" s="1573"/>
      <c r="K37" s="1573"/>
      <c r="L37" s="1574"/>
    </row>
    <row r="38" spans="2:12">
      <c r="B38" s="364"/>
      <c r="L38" s="365"/>
    </row>
    <row r="39" spans="2:12">
      <c r="B39" s="364"/>
      <c r="L39" s="365"/>
    </row>
    <row r="40" spans="2:12">
      <c r="B40" s="364"/>
      <c r="L40" s="365"/>
    </row>
    <row r="41" spans="2:12" ht="12.9" thickBot="1">
      <c r="B41" s="634"/>
      <c r="C41" s="635"/>
      <c r="D41" s="635"/>
      <c r="E41" s="635"/>
      <c r="F41" s="635"/>
      <c r="G41" s="635"/>
      <c r="H41" s="635"/>
      <c r="I41" s="635"/>
      <c r="J41" s="635"/>
      <c r="K41" s="635"/>
      <c r="L41" s="636"/>
    </row>
  </sheetData>
  <mergeCells count="5">
    <mergeCell ref="I2:L2"/>
    <mergeCell ref="B5:L5"/>
    <mergeCell ref="B7:L11"/>
    <mergeCell ref="B12:L16"/>
    <mergeCell ref="B17:L37"/>
  </mergeCells>
  <pageMargins left="0.7" right="0.7" top="0.75" bottom="0.75" header="0.3" footer="0.3"/>
  <pageSetup paperSize="9" scale="8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2FD3D-7FBD-44AB-B0DC-E15D5EF00E31}">
  <sheetPr codeName="Lapas6">
    <pageSetUpPr fitToPage="1"/>
  </sheetPr>
  <dimension ref="B1:N53"/>
  <sheetViews>
    <sheetView topLeftCell="A34" zoomScale="110" zoomScaleNormal="110" workbookViewId="0">
      <selection activeCell="C36" sqref="C36:N36"/>
    </sheetView>
  </sheetViews>
  <sheetFormatPr defaultColWidth="8.84375" defaultRowHeight="11.6"/>
  <cols>
    <col min="1" max="1" width="8.84375" style="661"/>
    <col min="2" max="2" width="12.69140625" style="661" customWidth="1"/>
    <col min="3" max="13" width="8.84375" style="661"/>
    <col min="14" max="14" width="26" style="661" customWidth="1"/>
    <col min="15" max="16384" width="8.84375" style="661"/>
  </cols>
  <sheetData>
    <row r="1" spans="2:14" ht="12" thickBot="1"/>
    <row r="2" spans="2:14" ht="52.5" customHeight="1" thickBot="1">
      <c r="B2" s="1585" t="s">
        <v>3599</v>
      </c>
      <c r="C2" s="1586"/>
      <c r="D2" s="1586"/>
      <c r="E2" s="1586"/>
      <c r="F2" s="1586"/>
      <c r="G2" s="1586"/>
      <c r="H2" s="1586"/>
      <c r="I2" s="1586"/>
      <c r="J2" s="1586"/>
      <c r="K2" s="1586"/>
      <c r="L2" s="1586"/>
      <c r="M2" s="1586"/>
      <c r="N2" s="1587"/>
    </row>
    <row r="3" spans="2:14">
      <c r="B3" s="1588"/>
      <c r="C3" s="1589"/>
      <c r="D3" s="1589"/>
      <c r="E3" s="1589"/>
      <c r="F3" s="1589"/>
      <c r="G3" s="1589"/>
      <c r="H3" s="1589"/>
      <c r="I3" s="1589"/>
      <c r="J3" s="1589"/>
      <c r="K3" s="1589"/>
      <c r="L3" s="1589"/>
      <c r="M3" s="1589"/>
      <c r="N3" s="1590"/>
    </row>
    <row r="4" spans="2:14" ht="90" customHeight="1">
      <c r="B4" s="664"/>
      <c r="C4" s="1593" t="s">
        <v>3735</v>
      </c>
      <c r="D4" s="1593"/>
      <c r="E4" s="1593"/>
      <c r="F4" s="1593"/>
      <c r="G4" s="1593"/>
      <c r="H4" s="1593"/>
      <c r="I4" s="1593"/>
      <c r="J4" s="1593"/>
      <c r="K4" s="1593"/>
      <c r="L4" s="1593"/>
      <c r="M4" s="1593"/>
      <c r="N4" s="1594"/>
    </row>
    <row r="5" spans="2:14" ht="14.5" customHeight="1" thickBot="1">
      <c r="B5" s="664"/>
      <c r="C5" s="1579" t="s">
        <v>3531</v>
      </c>
      <c r="D5" s="1579"/>
      <c r="E5" s="1579"/>
      <c r="F5" s="1579"/>
      <c r="G5" s="1579"/>
      <c r="H5" s="1579"/>
      <c r="I5" s="1579"/>
      <c r="J5" s="1579"/>
      <c r="K5" s="1579"/>
      <c r="L5" s="1579"/>
      <c r="M5" s="1579"/>
      <c r="N5" s="1580"/>
    </row>
    <row r="6" spans="2:14" ht="22.5" customHeight="1" thickBot="1">
      <c r="B6" s="682" t="s">
        <v>2540</v>
      </c>
      <c r="C6" s="1595" t="s">
        <v>2541</v>
      </c>
      <c r="D6" s="1595"/>
      <c r="E6" s="1595"/>
      <c r="F6" s="1595"/>
      <c r="G6" s="1595"/>
      <c r="H6" s="1595"/>
      <c r="I6" s="1595"/>
      <c r="J6" s="1595"/>
      <c r="K6" s="1595"/>
      <c r="L6" s="1595"/>
      <c r="M6" s="1595"/>
      <c r="N6" s="1596"/>
    </row>
    <row r="7" spans="2:14" ht="15.65" customHeight="1">
      <c r="B7" s="665" t="s">
        <v>2445</v>
      </c>
      <c r="C7" s="1591" t="str">
        <f>'[1]II skyrius'!D10</f>
        <v xml:space="preserve">Gerinti  investicinės aplinkos patrauklumą ir didinti ekonominį potencialą </v>
      </c>
      <c r="D7" s="1591"/>
      <c r="E7" s="1591"/>
      <c r="F7" s="1591"/>
      <c r="G7" s="1591"/>
      <c r="H7" s="1591"/>
      <c r="I7" s="1591"/>
      <c r="J7" s="1591"/>
      <c r="K7" s="1591"/>
      <c r="L7" s="1591"/>
      <c r="M7" s="1591"/>
      <c r="N7" s="1592"/>
    </row>
    <row r="8" spans="2:14" ht="30" customHeight="1">
      <c r="B8" s="662"/>
      <c r="C8" s="1575" t="s">
        <v>3324</v>
      </c>
      <c r="D8" s="1575"/>
      <c r="E8" s="1575"/>
      <c r="F8" s="1575"/>
      <c r="G8" s="1575"/>
      <c r="H8" s="1575"/>
      <c r="I8" s="1575"/>
      <c r="J8" s="1575"/>
      <c r="K8" s="1575"/>
      <c r="L8" s="1575"/>
      <c r="M8" s="1575"/>
      <c r="N8" s="1576"/>
    </row>
    <row r="9" spans="2:14" ht="30.75" customHeight="1">
      <c r="B9" s="662"/>
      <c r="C9" s="1575" t="s">
        <v>1480</v>
      </c>
      <c r="D9" s="1575"/>
      <c r="E9" s="1575"/>
      <c r="F9" s="1575"/>
      <c r="G9" s="1575"/>
      <c r="H9" s="1575"/>
      <c r="I9" s="1575"/>
      <c r="J9" s="1575"/>
      <c r="K9" s="1575"/>
      <c r="L9" s="1575"/>
      <c r="M9" s="1575"/>
      <c r="N9" s="1576"/>
    </row>
    <row r="10" spans="2:14" ht="13.95" customHeight="1">
      <c r="B10" s="665" t="s">
        <v>2447</v>
      </c>
      <c r="C10" s="1579" t="str">
        <f>'[1]II skyrius'!D18</f>
        <v xml:space="preserve"> Didinti turistinį savivaldybės patrauklumą, teikiant viešąsias paslaugas bei plėtojant viešąją turizmo infrastruktūrą</v>
      </c>
      <c r="D10" s="1579"/>
      <c r="E10" s="1579"/>
      <c r="F10" s="1579"/>
      <c r="G10" s="1579"/>
      <c r="H10" s="1579"/>
      <c r="I10" s="1579"/>
      <c r="J10" s="1579"/>
      <c r="K10" s="1579"/>
      <c r="L10" s="1579"/>
      <c r="M10" s="1579"/>
      <c r="N10" s="1580"/>
    </row>
    <row r="11" spans="2:14" ht="24.75" customHeight="1">
      <c r="B11" s="662"/>
      <c r="C11" s="1575" t="s">
        <v>2446</v>
      </c>
      <c r="D11" s="1575"/>
      <c r="E11" s="1575"/>
      <c r="F11" s="1575"/>
      <c r="G11" s="1575"/>
      <c r="H11" s="1575"/>
      <c r="I11" s="1575"/>
      <c r="J11" s="1575"/>
      <c r="K11" s="1575"/>
      <c r="L11" s="1575"/>
      <c r="M11" s="1575"/>
      <c r="N11" s="1576"/>
    </row>
    <row r="12" spans="2:14" ht="30" customHeight="1">
      <c r="B12" s="662"/>
      <c r="C12" s="1575" t="s">
        <v>3828</v>
      </c>
      <c r="D12" s="1575"/>
      <c r="E12" s="1575"/>
      <c r="F12" s="1575"/>
      <c r="G12" s="1575"/>
      <c r="H12" s="1575"/>
      <c r="I12" s="1575"/>
      <c r="J12" s="1575"/>
      <c r="K12" s="1575"/>
      <c r="L12" s="1575"/>
      <c r="M12" s="1575"/>
      <c r="N12" s="1576"/>
    </row>
    <row r="13" spans="2:14" ht="24.75" customHeight="1" thickBot="1">
      <c r="B13" s="662"/>
      <c r="C13" s="1575" t="s">
        <v>3736</v>
      </c>
      <c r="D13" s="1575"/>
      <c r="E13" s="1575"/>
      <c r="F13" s="1575"/>
      <c r="G13" s="1575"/>
      <c r="H13" s="1575"/>
      <c r="I13" s="1575"/>
      <c r="J13" s="1575"/>
      <c r="K13" s="1575"/>
      <c r="L13" s="1575"/>
      <c r="M13" s="1575"/>
      <c r="N13" s="1576"/>
    </row>
    <row r="14" spans="2:14" ht="23.25" customHeight="1" thickBot="1">
      <c r="B14" s="683" t="s">
        <v>2542</v>
      </c>
      <c r="C14" s="1595" t="s">
        <v>3737</v>
      </c>
      <c r="D14" s="1595"/>
      <c r="E14" s="1595"/>
      <c r="F14" s="1595"/>
      <c r="G14" s="1595"/>
      <c r="H14" s="1595"/>
      <c r="I14" s="1595"/>
      <c r="J14" s="1595"/>
      <c r="K14" s="1595"/>
      <c r="L14" s="1595"/>
      <c r="M14" s="1595"/>
      <c r="N14" s="1596"/>
    </row>
    <row r="15" spans="2:14" ht="38.5" customHeight="1">
      <c r="B15" s="665" t="s">
        <v>2448</v>
      </c>
      <c r="C15" s="1579" t="str">
        <f>'[1]II skyrius'!D22</f>
        <v xml:space="preserve"> Tikslingai naudojant švietimui skirtas lėšas bei kryptingai tobulinant darbuotojų kompetencijas, kiekvienam besimokančiajam sukurti lygiavertes ir šiuolaikiškas kokybiško ugdymo(si) sąlygas, lemiančias geresnius mokinių pasiekimus, optimalią, integracinę, darniai ir racionaliai veikiančią, nuolat atsinaujinančią savivaldybės švietimo sistemą</v>
      </c>
      <c r="D15" s="1579"/>
      <c r="E15" s="1579"/>
      <c r="F15" s="1579"/>
      <c r="G15" s="1579"/>
      <c r="H15" s="1579"/>
      <c r="I15" s="1579"/>
      <c r="J15" s="1579"/>
      <c r="K15" s="1579"/>
      <c r="L15" s="1579"/>
      <c r="M15" s="1579"/>
      <c r="N15" s="1580"/>
    </row>
    <row r="16" spans="2:14" ht="20.25" customHeight="1">
      <c r="B16" s="662"/>
      <c r="C16" s="1575" t="s">
        <v>3738</v>
      </c>
      <c r="D16" s="1575"/>
      <c r="E16" s="1575"/>
      <c r="F16" s="1575"/>
      <c r="G16" s="1575"/>
      <c r="H16" s="1575"/>
      <c r="I16" s="1575"/>
      <c r="J16" s="1575"/>
      <c r="K16" s="1575"/>
      <c r="L16" s="1575"/>
      <c r="M16" s="1575"/>
      <c r="N16" s="1576"/>
    </row>
    <row r="17" spans="2:14" ht="18.75" customHeight="1">
      <c r="B17" s="662"/>
      <c r="C17" s="1577" t="s">
        <v>2449</v>
      </c>
      <c r="D17" s="1577"/>
      <c r="E17" s="1577"/>
      <c r="F17" s="1577"/>
      <c r="G17" s="1577"/>
      <c r="H17" s="1577"/>
      <c r="I17" s="1577"/>
      <c r="J17" s="1577"/>
      <c r="K17" s="1577"/>
      <c r="L17" s="1577"/>
      <c r="M17" s="1577"/>
      <c r="N17" s="1578"/>
    </row>
    <row r="18" spans="2:14" ht="21.75" customHeight="1">
      <c r="B18" s="662"/>
      <c r="C18" s="1575" t="s">
        <v>2450</v>
      </c>
      <c r="D18" s="1575"/>
      <c r="E18" s="1575"/>
      <c r="F18" s="1575"/>
      <c r="G18" s="1575"/>
      <c r="H18" s="1575"/>
      <c r="I18" s="1575"/>
      <c r="J18" s="1575"/>
      <c r="K18" s="1575"/>
      <c r="L18" s="1575"/>
      <c r="M18" s="1575"/>
      <c r="N18" s="1576"/>
    </row>
    <row r="19" spans="2:14" ht="25.5" customHeight="1">
      <c r="B19" s="662"/>
      <c r="C19" s="1575" t="s">
        <v>3739</v>
      </c>
      <c r="D19" s="1575"/>
      <c r="E19" s="1575"/>
      <c r="F19" s="1575"/>
      <c r="G19" s="1575"/>
      <c r="H19" s="1575"/>
      <c r="I19" s="1575"/>
      <c r="J19" s="1575"/>
      <c r="K19" s="1575"/>
      <c r="L19" s="1575"/>
      <c r="M19" s="1575"/>
      <c r="N19" s="1576"/>
    </row>
    <row r="20" spans="2:14" ht="24" customHeight="1">
      <c r="B20" s="662"/>
      <c r="C20" s="1575" t="s">
        <v>2451</v>
      </c>
      <c r="D20" s="1575"/>
      <c r="E20" s="1575"/>
      <c r="F20" s="1575"/>
      <c r="G20" s="1575"/>
      <c r="H20" s="1575"/>
      <c r="I20" s="1575"/>
      <c r="J20" s="1575"/>
      <c r="K20" s="1575"/>
      <c r="L20" s="1575"/>
      <c r="M20" s="1575"/>
      <c r="N20" s="1576"/>
    </row>
    <row r="21" spans="2:14" ht="27" customHeight="1">
      <c r="B21" s="665" t="s">
        <v>2452</v>
      </c>
      <c r="C21" s="1579" t="str">
        <f>'[1]II skyrius'!D30</f>
        <v>Sudaryti sąlygas visų amžiaus grupių ir galimybių visaginiečiams jų sveikai gyvensenai, fiziniam aktyvumui, sportavimui bei siekti, kad tai taptų savivaldybės bendruomenės gyvensenos dalimi</v>
      </c>
      <c r="D21" s="1579"/>
      <c r="E21" s="1579"/>
      <c r="F21" s="1579"/>
      <c r="G21" s="1579"/>
      <c r="H21" s="1579"/>
      <c r="I21" s="1579"/>
      <c r="J21" s="1579"/>
      <c r="K21" s="1579"/>
      <c r="L21" s="1579"/>
      <c r="M21" s="1579"/>
      <c r="N21" s="1580"/>
    </row>
    <row r="22" spans="2:14" ht="14.5" customHeight="1">
      <c r="B22" s="662"/>
      <c r="C22" s="1575" t="s">
        <v>2454</v>
      </c>
      <c r="D22" s="1575"/>
      <c r="E22" s="1575"/>
      <c r="F22" s="1575"/>
      <c r="G22" s="1575"/>
      <c r="H22" s="1575"/>
      <c r="I22" s="1575"/>
      <c r="J22" s="1575"/>
      <c r="K22" s="1575"/>
      <c r="L22" s="1575"/>
      <c r="M22" s="1575"/>
      <c r="N22" s="1576"/>
    </row>
    <row r="23" spans="2:14" ht="21" customHeight="1">
      <c r="B23" s="662"/>
      <c r="C23" s="1575" t="s">
        <v>2453</v>
      </c>
      <c r="D23" s="1575"/>
      <c r="E23" s="1575"/>
      <c r="F23" s="1575"/>
      <c r="G23" s="1575"/>
      <c r="H23" s="1575"/>
      <c r="I23" s="1575"/>
      <c r="J23" s="1575"/>
      <c r="K23" s="1575"/>
      <c r="L23" s="1575"/>
      <c r="M23" s="1575"/>
      <c r="N23" s="1576"/>
    </row>
    <row r="24" spans="2:14" ht="26.25" customHeight="1">
      <c r="B24" s="665" t="s">
        <v>2455</v>
      </c>
      <c r="C24" s="1579" t="str">
        <f>'[1]II skyrius'!D36</f>
        <v>Įgyvendinti valstybinę kultūros politiką ir formuoti regioninį identitetą, stiprinti pilietiškumą ir bendruomenės į(si)traukimą į kūrybines, kultūrines veiklas</v>
      </c>
      <c r="D24" s="1579"/>
      <c r="E24" s="1579"/>
      <c r="F24" s="1579"/>
      <c r="G24" s="1579"/>
      <c r="H24" s="1579"/>
      <c r="I24" s="1579"/>
      <c r="J24" s="1579"/>
      <c r="K24" s="1579"/>
      <c r="L24" s="1579"/>
      <c r="M24" s="1579"/>
      <c r="N24" s="1580"/>
    </row>
    <row r="25" spans="2:14" ht="21" customHeight="1">
      <c r="B25" s="662"/>
      <c r="C25" s="1575" t="s">
        <v>2456</v>
      </c>
      <c r="D25" s="1575"/>
      <c r="E25" s="1575"/>
      <c r="F25" s="1575"/>
      <c r="G25" s="1575"/>
      <c r="H25" s="1575"/>
      <c r="I25" s="1575"/>
      <c r="J25" s="1575"/>
      <c r="K25" s="1575"/>
      <c r="L25" s="1575"/>
      <c r="M25" s="1575"/>
      <c r="N25" s="1576"/>
    </row>
    <row r="26" spans="2:14" ht="21" customHeight="1">
      <c r="B26" s="662"/>
      <c r="C26" s="1575" t="s">
        <v>2457</v>
      </c>
      <c r="D26" s="1575"/>
      <c r="E26" s="1575"/>
      <c r="F26" s="1575"/>
      <c r="G26" s="1575"/>
      <c r="H26" s="1575"/>
      <c r="I26" s="1575"/>
      <c r="J26" s="1575"/>
      <c r="K26" s="1575"/>
      <c r="L26" s="1575"/>
      <c r="M26" s="1575"/>
      <c r="N26" s="1576"/>
    </row>
    <row r="27" spans="2:14" ht="16.2" customHeight="1">
      <c r="B27" s="665" t="s">
        <v>2458</v>
      </c>
      <c r="C27" s="1579" t="str">
        <f>'[1]II skyrius'!D43</f>
        <v>Stiprinti ir puoselėti gyventojų sveikatą</v>
      </c>
      <c r="D27" s="1579"/>
      <c r="E27" s="1579"/>
      <c r="F27" s="1579"/>
      <c r="G27" s="1579"/>
      <c r="H27" s="1579"/>
      <c r="I27" s="1579"/>
      <c r="J27" s="1579"/>
      <c r="K27" s="1579"/>
      <c r="L27" s="1579"/>
      <c r="M27" s="1579"/>
      <c r="N27" s="1580"/>
    </row>
    <row r="28" spans="2:14" ht="26.25" customHeight="1">
      <c r="B28" s="662"/>
      <c r="C28" s="1575" t="s">
        <v>2465</v>
      </c>
      <c r="D28" s="1575"/>
      <c r="E28" s="1575"/>
      <c r="F28" s="1575"/>
      <c r="G28" s="1575"/>
      <c r="H28" s="1575"/>
      <c r="I28" s="1575"/>
      <c r="J28" s="1575"/>
      <c r="K28" s="1575"/>
      <c r="L28" s="1575"/>
      <c r="M28" s="1575"/>
      <c r="N28" s="1576"/>
    </row>
    <row r="29" spans="2:14" ht="18.75" customHeight="1">
      <c r="B29" s="665" t="s">
        <v>2459</v>
      </c>
      <c r="C29" s="1579" t="str">
        <f>'[1]II skyrius'!D47</f>
        <v>Pagerinti  ir plėsti socialinių paslaugų kokybę ir prieinamumą bei sukurti jų plėtrai reikalingą  infrastruktūrą</v>
      </c>
      <c r="D29" s="1579"/>
      <c r="E29" s="1579"/>
      <c r="F29" s="1579"/>
      <c r="G29" s="1579"/>
      <c r="H29" s="1579"/>
      <c r="I29" s="1579"/>
      <c r="J29" s="1579"/>
      <c r="K29" s="1579"/>
      <c r="L29" s="1579"/>
      <c r="M29" s="1579"/>
      <c r="N29" s="1580"/>
    </row>
    <row r="30" spans="2:14" ht="20.25" customHeight="1">
      <c r="B30" s="662"/>
      <c r="C30" s="1575" t="s">
        <v>2460</v>
      </c>
      <c r="D30" s="1575"/>
      <c r="E30" s="1575"/>
      <c r="F30" s="1575"/>
      <c r="G30" s="1575"/>
      <c r="H30" s="1575"/>
      <c r="I30" s="1575"/>
      <c r="J30" s="1575"/>
      <c r="K30" s="1575"/>
      <c r="L30" s="1575"/>
      <c r="M30" s="1575"/>
      <c r="N30" s="1576"/>
    </row>
    <row r="31" spans="2:14" ht="20.25" customHeight="1">
      <c r="B31" s="662"/>
      <c r="C31" s="1575" t="s">
        <v>2461</v>
      </c>
      <c r="D31" s="1575"/>
      <c r="E31" s="1575"/>
      <c r="F31" s="1575"/>
      <c r="G31" s="1575"/>
      <c r="H31" s="1575"/>
      <c r="I31" s="1575"/>
      <c r="J31" s="1575"/>
      <c r="K31" s="1575"/>
      <c r="L31" s="1575"/>
      <c r="M31" s="1575"/>
      <c r="N31" s="1576"/>
    </row>
    <row r="32" spans="2:14" ht="19.5" customHeight="1">
      <c r="B32" s="665" t="s">
        <v>2462</v>
      </c>
      <c r="C32" s="1579" t="str">
        <f>'[1]II skyrius'!D49</f>
        <v>Sudaryti galimybes jaunimui atvykti, dirbti ir gyventi Visagino savivaldybėje</v>
      </c>
      <c r="D32" s="1579"/>
      <c r="E32" s="1579"/>
      <c r="F32" s="1579"/>
      <c r="G32" s="1579"/>
      <c r="H32" s="1579"/>
      <c r="I32" s="1579"/>
      <c r="J32" s="1579"/>
      <c r="K32" s="1579"/>
      <c r="L32" s="1579"/>
      <c r="M32" s="1579"/>
      <c r="N32" s="1580"/>
    </row>
    <row r="33" spans="2:14" ht="18.75" customHeight="1">
      <c r="B33" s="662"/>
      <c r="C33" s="1575" t="s">
        <v>2463</v>
      </c>
      <c r="D33" s="1575"/>
      <c r="E33" s="1575"/>
      <c r="F33" s="1575"/>
      <c r="G33" s="1575"/>
      <c r="H33" s="1575"/>
      <c r="I33" s="1575"/>
      <c r="J33" s="1575"/>
      <c r="K33" s="1575"/>
      <c r="L33" s="1575"/>
      <c r="M33" s="1575"/>
      <c r="N33" s="1576"/>
    </row>
    <row r="34" spans="2:14" ht="30" customHeight="1">
      <c r="B34" s="665" t="s">
        <v>2464</v>
      </c>
      <c r="C34" s="1579" t="str">
        <f>'[1]II skyrius'!D52</f>
        <v xml:space="preserve">Gyventojų socialinio, pilietinio aktyvumo, dalyvavimo savanoriškoje, visuomeninėje veikloje, tarpusavio pasitikėjimo, bendruomenės socialinės atsakomybės ir įsitraukimo didinimas  </v>
      </c>
      <c r="D34" s="1579"/>
      <c r="E34" s="1579"/>
      <c r="F34" s="1579"/>
      <c r="G34" s="1579"/>
      <c r="H34" s="1579"/>
      <c r="I34" s="1579"/>
      <c r="J34" s="1579"/>
      <c r="K34" s="1579"/>
      <c r="L34" s="1579"/>
      <c r="M34" s="1579"/>
      <c r="N34" s="1580"/>
    </row>
    <row r="35" spans="2:14" ht="31.5" customHeight="1">
      <c r="B35" s="662"/>
      <c r="C35" s="1575" t="s">
        <v>3740</v>
      </c>
      <c r="D35" s="1575"/>
      <c r="E35" s="1575"/>
      <c r="F35" s="1575"/>
      <c r="G35" s="1575"/>
      <c r="H35" s="1575"/>
      <c r="I35" s="1575"/>
      <c r="J35" s="1575"/>
      <c r="K35" s="1575"/>
      <c r="L35" s="1575"/>
      <c r="M35" s="1575"/>
      <c r="N35" s="1576"/>
    </row>
    <row r="36" spans="2:14" ht="31.5" customHeight="1">
      <c r="B36" s="662"/>
      <c r="C36" s="1575" t="s">
        <v>3741</v>
      </c>
      <c r="D36" s="1575"/>
      <c r="E36" s="1575"/>
      <c r="F36" s="1575"/>
      <c r="G36" s="1575"/>
      <c r="H36" s="1575"/>
      <c r="I36" s="1575"/>
      <c r="J36" s="1575"/>
      <c r="K36" s="1575"/>
      <c r="L36" s="1575"/>
      <c r="M36" s="1575"/>
      <c r="N36" s="1576"/>
    </row>
    <row r="37" spans="2:14" ht="17.5" customHeight="1">
      <c r="B37" s="665" t="s">
        <v>2466</v>
      </c>
      <c r="C37" s="1579" t="str">
        <f>'[1]II skyrius'!D56</f>
        <v>Tobulinti viešojo valdymo sistemą, didinti jos efektyvumą ir atvirumą</v>
      </c>
      <c r="D37" s="1579"/>
      <c r="E37" s="1579"/>
      <c r="F37" s="1579"/>
      <c r="G37" s="1579"/>
      <c r="H37" s="1579"/>
      <c r="I37" s="1579"/>
      <c r="J37" s="1579"/>
      <c r="K37" s="1579"/>
      <c r="L37" s="1579"/>
      <c r="M37" s="1579"/>
      <c r="N37" s="1580"/>
    </row>
    <row r="38" spans="2:14" ht="25.5" customHeight="1">
      <c r="B38" s="662"/>
      <c r="C38" s="1575" t="s">
        <v>3742</v>
      </c>
      <c r="D38" s="1575"/>
      <c r="E38" s="1575"/>
      <c r="F38" s="1575"/>
      <c r="G38" s="1575"/>
      <c r="H38" s="1575"/>
      <c r="I38" s="1575"/>
      <c r="J38" s="1575"/>
      <c r="K38" s="1575"/>
      <c r="L38" s="1575"/>
      <c r="M38" s="1575"/>
      <c r="N38" s="1576"/>
    </row>
    <row r="39" spans="2:14" ht="21" customHeight="1" thickBot="1">
      <c r="B39" s="662"/>
      <c r="C39" s="1575" t="s">
        <v>2467</v>
      </c>
      <c r="D39" s="1575"/>
      <c r="E39" s="1575"/>
      <c r="F39" s="1575"/>
      <c r="G39" s="1575"/>
      <c r="H39" s="1575"/>
      <c r="I39" s="1575"/>
      <c r="J39" s="1575"/>
      <c r="K39" s="1575"/>
      <c r="L39" s="1575"/>
      <c r="M39" s="1575"/>
      <c r="N39" s="1576"/>
    </row>
    <row r="40" spans="2:14" ht="22.5" customHeight="1" thickBot="1">
      <c r="B40" s="681" t="s">
        <v>2543</v>
      </c>
      <c r="C40" s="1583" t="s">
        <v>2544</v>
      </c>
      <c r="D40" s="1583"/>
      <c r="E40" s="1583"/>
      <c r="F40" s="1583"/>
      <c r="G40" s="1583"/>
      <c r="H40" s="1583"/>
      <c r="I40" s="1583"/>
      <c r="J40" s="1583"/>
      <c r="K40" s="1583"/>
      <c r="L40" s="1583"/>
      <c r="M40" s="1583"/>
      <c r="N40" s="1584"/>
    </row>
    <row r="41" spans="2:14" ht="15" customHeight="1">
      <c r="B41" s="665" t="s">
        <v>2468</v>
      </c>
      <c r="C41" s="1579" t="str">
        <f>'[1]II skyrius'!D64</f>
        <v>Vykdyti kryptingą darnaus judumo politiką savivaldybėje</v>
      </c>
      <c r="D41" s="1579"/>
      <c r="E41" s="1579"/>
      <c r="F41" s="1579"/>
      <c r="G41" s="1579"/>
      <c r="H41" s="1579"/>
      <c r="I41" s="1579"/>
      <c r="J41" s="1579"/>
      <c r="K41" s="1579"/>
      <c r="L41" s="1579"/>
      <c r="M41" s="1579"/>
      <c r="N41" s="1580"/>
    </row>
    <row r="42" spans="2:14" ht="17.25" customHeight="1">
      <c r="B42" s="665"/>
      <c r="C42" s="1581" t="str">
        <f>'[1]II skyrius'!D65</f>
        <v>Skatinti bemotorio transporto pasirinkimą ir pėsčiųjų judumą</v>
      </c>
      <c r="D42" s="1581"/>
      <c r="E42" s="1581"/>
      <c r="F42" s="1581"/>
      <c r="G42" s="1581"/>
      <c r="H42" s="1581"/>
      <c r="I42" s="1581"/>
      <c r="J42" s="1581"/>
      <c r="K42" s="1581"/>
      <c r="L42" s="1581"/>
      <c r="M42" s="1581"/>
      <c r="N42" s="1582"/>
    </row>
    <row r="43" spans="2:14" ht="21.75" customHeight="1">
      <c r="B43" s="662"/>
      <c r="C43" s="1575" t="s">
        <v>2469</v>
      </c>
      <c r="D43" s="1575"/>
      <c r="E43" s="1575"/>
      <c r="F43" s="1575"/>
      <c r="G43" s="1575"/>
      <c r="H43" s="1575"/>
      <c r="I43" s="1575"/>
      <c r="J43" s="1575"/>
      <c r="K43" s="1575"/>
      <c r="L43" s="1575"/>
      <c r="M43" s="1575"/>
      <c r="N43" s="1576"/>
    </row>
    <row r="44" spans="2:14" ht="19.5" customHeight="1">
      <c r="B44" s="662"/>
      <c r="C44" s="1575" t="s">
        <v>3325</v>
      </c>
      <c r="D44" s="1575"/>
      <c r="E44" s="1575"/>
      <c r="F44" s="1575"/>
      <c r="G44" s="1575"/>
      <c r="H44" s="1575"/>
      <c r="I44" s="1575"/>
      <c r="J44" s="1575"/>
      <c r="K44" s="1575"/>
      <c r="L44" s="1575"/>
      <c r="M44" s="1575"/>
      <c r="N44" s="1576"/>
    </row>
    <row r="45" spans="2:14" ht="18.75" customHeight="1">
      <c r="B45" s="662"/>
      <c r="C45" s="1575" t="s">
        <v>2470</v>
      </c>
      <c r="D45" s="1575"/>
      <c r="E45" s="1575"/>
      <c r="F45" s="1575"/>
      <c r="G45" s="1575"/>
      <c r="H45" s="1575"/>
      <c r="I45" s="1575"/>
      <c r="J45" s="1575"/>
      <c r="K45" s="1575"/>
      <c r="L45" s="1575"/>
      <c r="M45" s="1575"/>
      <c r="N45" s="1576"/>
    </row>
    <row r="46" spans="2:14" ht="18" customHeight="1">
      <c r="B46" s="665" t="s">
        <v>2471</v>
      </c>
      <c r="C46" s="1579" t="str">
        <f>'[1]II skyrius'!D68</f>
        <v>Skatinti tvarų miesto teritorijos vystymą</v>
      </c>
      <c r="D46" s="1579"/>
      <c r="E46" s="1579"/>
      <c r="F46" s="1579"/>
      <c r="G46" s="1579"/>
      <c r="H46" s="1579"/>
      <c r="I46" s="1579"/>
      <c r="J46" s="1579"/>
      <c r="K46" s="1579"/>
      <c r="L46" s="1579"/>
      <c r="M46" s="1579"/>
      <c r="N46" s="1580"/>
    </row>
    <row r="47" spans="2:14" ht="17.25" customHeight="1">
      <c r="B47" s="662"/>
      <c r="C47" s="1575" t="s">
        <v>2473</v>
      </c>
      <c r="D47" s="1575"/>
      <c r="E47" s="1575"/>
      <c r="F47" s="1575"/>
      <c r="G47" s="1575"/>
      <c r="H47" s="1575"/>
      <c r="I47" s="1575"/>
      <c r="J47" s="1575"/>
      <c r="K47" s="1575"/>
      <c r="L47" s="1575"/>
      <c r="M47" s="1575"/>
      <c r="N47" s="1576"/>
    </row>
    <row r="48" spans="2:14" ht="21" customHeight="1">
      <c r="B48" s="662"/>
      <c r="C48" s="1577" t="s">
        <v>3743</v>
      </c>
      <c r="D48" s="1577"/>
      <c r="E48" s="1577"/>
      <c r="F48" s="1577"/>
      <c r="G48" s="1577"/>
      <c r="H48" s="1577"/>
      <c r="I48" s="1577"/>
      <c r="J48" s="1577"/>
      <c r="K48" s="1577"/>
      <c r="L48" s="1577"/>
      <c r="M48" s="1577"/>
      <c r="N48" s="1578"/>
    </row>
    <row r="49" spans="2:14" ht="18" customHeight="1">
      <c r="B49" s="665" t="s">
        <v>2472</v>
      </c>
      <c r="C49" s="1579" t="str">
        <f>'[1]II skyrius'!D72</f>
        <v>Skatinti žaliąją savivaldybės plėtrą</v>
      </c>
      <c r="D49" s="1579"/>
      <c r="E49" s="1579"/>
      <c r="F49" s="1579"/>
      <c r="G49" s="1579"/>
      <c r="H49" s="1579"/>
      <c r="I49" s="1579"/>
      <c r="J49" s="1579"/>
      <c r="K49" s="1579"/>
      <c r="L49" s="1579"/>
      <c r="M49" s="1579"/>
      <c r="N49" s="1580"/>
    </row>
    <row r="50" spans="2:14" ht="20.25" customHeight="1">
      <c r="B50" s="662"/>
      <c r="C50" s="1575" t="s">
        <v>3744</v>
      </c>
      <c r="D50" s="1575"/>
      <c r="E50" s="1575"/>
      <c r="F50" s="1575"/>
      <c r="G50" s="1575"/>
      <c r="H50" s="1575"/>
      <c r="I50" s="1575"/>
      <c r="J50" s="1575"/>
      <c r="K50" s="1575"/>
      <c r="L50" s="1575"/>
      <c r="M50" s="1575"/>
      <c r="N50" s="1576"/>
    </row>
    <row r="51" spans="2:14" ht="20.25" customHeight="1">
      <c r="B51" s="662"/>
      <c r="C51" s="1575" t="s">
        <v>2521</v>
      </c>
      <c r="D51" s="1575"/>
      <c r="E51" s="1575"/>
      <c r="F51" s="1575"/>
      <c r="G51" s="1575"/>
      <c r="H51" s="1575"/>
      <c r="I51" s="1575"/>
      <c r="J51" s="1575"/>
      <c r="K51" s="1575"/>
      <c r="L51" s="1575"/>
      <c r="M51" s="1575"/>
      <c r="N51" s="1576"/>
    </row>
    <row r="52" spans="2:14" ht="30" customHeight="1">
      <c r="B52" s="662"/>
      <c r="C52" s="1575" t="s">
        <v>3745</v>
      </c>
      <c r="D52" s="1575"/>
      <c r="E52" s="1575"/>
      <c r="F52" s="1575"/>
      <c r="G52" s="1575"/>
      <c r="H52" s="1575"/>
      <c r="I52" s="1575"/>
      <c r="J52" s="1575"/>
      <c r="K52" s="1575"/>
      <c r="L52" s="1575"/>
      <c r="M52" s="1575"/>
      <c r="N52" s="663"/>
    </row>
    <row r="53" spans="2:14" ht="18.75" customHeight="1" thickBot="1">
      <c r="B53" s="666"/>
      <c r="C53" s="667"/>
      <c r="D53" s="667"/>
      <c r="E53" s="667"/>
      <c r="F53" s="667"/>
      <c r="G53" s="667"/>
      <c r="H53" s="667"/>
      <c r="I53" s="667"/>
      <c r="J53" s="667"/>
      <c r="K53" s="667"/>
      <c r="L53" s="667"/>
      <c r="M53" s="667"/>
      <c r="N53" s="668"/>
    </row>
  </sheetData>
  <mergeCells count="51">
    <mergeCell ref="C22:N22"/>
    <mergeCell ref="B2:N2"/>
    <mergeCell ref="B3:N3"/>
    <mergeCell ref="C7:N7"/>
    <mergeCell ref="C10:N10"/>
    <mergeCell ref="C15:N15"/>
    <mergeCell ref="C5:N5"/>
    <mergeCell ref="C12:N12"/>
    <mergeCell ref="C8:N8"/>
    <mergeCell ref="C9:N9"/>
    <mergeCell ref="C11:N11"/>
    <mergeCell ref="C4:N4"/>
    <mergeCell ref="C6:N6"/>
    <mergeCell ref="C14:N14"/>
    <mergeCell ref="C21:N21"/>
    <mergeCell ref="C13:N13"/>
    <mergeCell ref="C52:M52"/>
    <mergeCell ref="C50:N50"/>
    <mergeCell ref="C51:N51"/>
    <mergeCell ref="C39:N39"/>
    <mergeCell ref="C35:N35"/>
    <mergeCell ref="C36:N36"/>
    <mergeCell ref="C38:N38"/>
    <mergeCell ref="C37:N37"/>
    <mergeCell ref="C41:N41"/>
    <mergeCell ref="C46:N46"/>
    <mergeCell ref="C49:N49"/>
    <mergeCell ref="C44:N44"/>
    <mergeCell ref="C47:N47"/>
    <mergeCell ref="C48:N48"/>
    <mergeCell ref="C43:N43"/>
    <mergeCell ref="C45:N45"/>
    <mergeCell ref="C23:N23"/>
    <mergeCell ref="C25:N25"/>
    <mergeCell ref="C26:N26"/>
    <mergeCell ref="C24:N24"/>
    <mergeCell ref="C42:N42"/>
    <mergeCell ref="C32:N32"/>
    <mergeCell ref="C34:N34"/>
    <mergeCell ref="C33:N33"/>
    <mergeCell ref="C40:N40"/>
    <mergeCell ref="C30:N30"/>
    <mergeCell ref="C31:N31"/>
    <mergeCell ref="C27:N27"/>
    <mergeCell ref="C29:N29"/>
    <mergeCell ref="C28:N28"/>
    <mergeCell ref="C18:N18"/>
    <mergeCell ref="C19:N19"/>
    <mergeCell ref="C20:N20"/>
    <mergeCell ref="C17:N17"/>
    <mergeCell ref="C16:N16"/>
  </mergeCells>
  <pageMargins left="0.7" right="0.7" top="0.75" bottom="0.75" header="0.3" footer="0.3"/>
  <pageSetup paperSize="9" scale="61"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D951-4DFC-4E5A-A3F4-EB3C39662DC7}">
  <sheetPr codeName="Lapas3">
    <pageSetUpPr fitToPage="1"/>
  </sheetPr>
  <dimension ref="B2:L36"/>
  <sheetViews>
    <sheetView topLeftCell="A7" workbookViewId="0">
      <selection activeCell="B4" sqref="B4:L36"/>
    </sheetView>
  </sheetViews>
  <sheetFormatPr defaultColWidth="9.15234375" defaultRowHeight="11.6"/>
  <cols>
    <col min="1" max="6" width="9.15234375" style="374"/>
    <col min="7" max="7" width="7.3046875" style="374" customWidth="1"/>
    <col min="8" max="8" width="7" style="374" customWidth="1"/>
    <col min="9" max="10" width="9.15234375" style="374"/>
    <col min="11" max="11" width="13" style="374" customWidth="1"/>
    <col min="12" max="12" width="26.15234375" style="374" customWidth="1"/>
    <col min="13" max="13" width="9.15234375" style="374"/>
    <col min="14" max="14" width="31.53515625" style="374" customWidth="1"/>
    <col min="15" max="16384" width="9.15234375" style="374"/>
  </cols>
  <sheetData>
    <row r="2" spans="2:12" ht="12" thickBot="1"/>
    <row r="3" spans="2:12" ht="58.5" customHeight="1" thickBot="1">
      <c r="B3" s="1585" t="s">
        <v>3600</v>
      </c>
      <c r="C3" s="1600"/>
      <c r="D3" s="1600"/>
      <c r="E3" s="1600"/>
      <c r="F3" s="1600"/>
      <c r="G3" s="1600"/>
      <c r="H3" s="1600"/>
      <c r="I3" s="1600"/>
      <c r="J3" s="1600"/>
      <c r="K3" s="1600"/>
      <c r="L3" s="1601"/>
    </row>
    <row r="4" spans="2:12">
      <c r="B4" s="1572" t="s">
        <v>3751</v>
      </c>
      <c r="C4" s="1573"/>
      <c r="D4" s="1573"/>
      <c r="E4" s="1573"/>
      <c r="F4" s="1573"/>
      <c r="G4" s="1573"/>
      <c r="H4" s="1573"/>
      <c r="I4" s="1573"/>
      <c r="J4" s="1573"/>
      <c r="K4" s="1573"/>
      <c r="L4" s="1574"/>
    </row>
    <row r="5" spans="2:12">
      <c r="B5" s="1572"/>
      <c r="C5" s="1573"/>
      <c r="D5" s="1573"/>
      <c r="E5" s="1573"/>
      <c r="F5" s="1573"/>
      <c r="G5" s="1573"/>
      <c r="H5" s="1573"/>
      <c r="I5" s="1573"/>
      <c r="J5" s="1573"/>
      <c r="K5" s="1573"/>
      <c r="L5" s="1574"/>
    </row>
    <row r="6" spans="2:12" ht="12.75" customHeight="1">
      <c r="B6" s="1572"/>
      <c r="C6" s="1573"/>
      <c r="D6" s="1573"/>
      <c r="E6" s="1573"/>
      <c r="F6" s="1573"/>
      <c r="G6" s="1573"/>
      <c r="H6" s="1573"/>
      <c r="I6" s="1573"/>
      <c r="J6" s="1573"/>
      <c r="K6" s="1573"/>
      <c r="L6" s="1574"/>
    </row>
    <row r="7" spans="2:12" ht="12.75" customHeight="1">
      <c r="B7" s="1572"/>
      <c r="C7" s="1573"/>
      <c r="D7" s="1573"/>
      <c r="E7" s="1573"/>
      <c r="F7" s="1573"/>
      <c r="G7" s="1573"/>
      <c r="H7" s="1573"/>
      <c r="I7" s="1573"/>
      <c r="J7" s="1573"/>
      <c r="K7" s="1573"/>
      <c r="L7" s="1574"/>
    </row>
    <row r="8" spans="2:12" ht="12.75" customHeight="1">
      <c r="B8" s="1572"/>
      <c r="C8" s="1573"/>
      <c r="D8" s="1573"/>
      <c r="E8" s="1573"/>
      <c r="F8" s="1573"/>
      <c r="G8" s="1573"/>
      <c r="H8" s="1573"/>
      <c r="I8" s="1573"/>
      <c r="J8" s="1573"/>
      <c r="K8" s="1573"/>
      <c r="L8" s="1574"/>
    </row>
    <row r="9" spans="2:12" ht="12.75" customHeight="1">
      <c r="B9" s="1572"/>
      <c r="C9" s="1573"/>
      <c r="D9" s="1573"/>
      <c r="E9" s="1573"/>
      <c r="F9" s="1573"/>
      <c r="G9" s="1573"/>
      <c r="H9" s="1573"/>
      <c r="I9" s="1573"/>
      <c r="J9" s="1573"/>
      <c r="K9" s="1573"/>
      <c r="L9" s="1574"/>
    </row>
    <row r="10" spans="2:12" ht="12.75" customHeight="1">
      <c r="B10" s="1572"/>
      <c r="C10" s="1573"/>
      <c r="D10" s="1573"/>
      <c r="E10" s="1573"/>
      <c r="F10" s="1573"/>
      <c r="G10" s="1573"/>
      <c r="H10" s="1573"/>
      <c r="I10" s="1573"/>
      <c r="J10" s="1573"/>
      <c r="K10" s="1573"/>
      <c r="L10" s="1574"/>
    </row>
    <row r="11" spans="2:12" ht="12.75" customHeight="1">
      <c r="B11" s="1572"/>
      <c r="C11" s="1573"/>
      <c r="D11" s="1573"/>
      <c r="E11" s="1573"/>
      <c r="F11" s="1573"/>
      <c r="G11" s="1573"/>
      <c r="H11" s="1573"/>
      <c r="I11" s="1573"/>
      <c r="J11" s="1573"/>
      <c r="K11" s="1573"/>
      <c r="L11" s="1574"/>
    </row>
    <row r="12" spans="2:12" ht="12.75" customHeight="1">
      <c r="B12" s="1572"/>
      <c r="C12" s="1573"/>
      <c r="D12" s="1573"/>
      <c r="E12" s="1573"/>
      <c r="F12" s="1573"/>
      <c r="G12" s="1573"/>
      <c r="H12" s="1573"/>
      <c r="I12" s="1573"/>
      <c r="J12" s="1573"/>
      <c r="K12" s="1573"/>
      <c r="L12" s="1574"/>
    </row>
    <row r="13" spans="2:12" ht="12.75" hidden="1" customHeight="1">
      <c r="B13" s="1572"/>
      <c r="C13" s="1573"/>
      <c r="D13" s="1573"/>
      <c r="E13" s="1573"/>
      <c r="F13" s="1573"/>
      <c r="G13" s="1573"/>
      <c r="H13" s="1573"/>
      <c r="I13" s="1573"/>
      <c r="J13" s="1573"/>
      <c r="K13" s="1573"/>
      <c r="L13" s="1574"/>
    </row>
    <row r="14" spans="2:12" ht="12.75" hidden="1" customHeight="1">
      <c r="B14" s="1572"/>
      <c r="C14" s="1573"/>
      <c r="D14" s="1573"/>
      <c r="E14" s="1573"/>
      <c r="F14" s="1573"/>
      <c r="G14" s="1573"/>
      <c r="H14" s="1573"/>
      <c r="I14" s="1573"/>
      <c r="J14" s="1573"/>
      <c r="K14" s="1573"/>
      <c r="L14" s="1574"/>
    </row>
    <row r="15" spans="2:12" ht="12.75" hidden="1" customHeight="1">
      <c r="B15" s="1572"/>
      <c r="C15" s="1573"/>
      <c r="D15" s="1573"/>
      <c r="E15" s="1573"/>
      <c r="F15" s="1573"/>
      <c r="G15" s="1573"/>
      <c r="H15" s="1573"/>
      <c r="I15" s="1573"/>
      <c r="J15" s="1573"/>
      <c r="K15" s="1573"/>
      <c r="L15" s="1574"/>
    </row>
    <row r="16" spans="2:12" ht="48.75" customHeight="1">
      <c r="B16" s="1572"/>
      <c r="C16" s="1573"/>
      <c r="D16" s="1573"/>
      <c r="E16" s="1573"/>
      <c r="F16" s="1573"/>
      <c r="G16" s="1573"/>
      <c r="H16" s="1573"/>
      <c r="I16" s="1573"/>
      <c r="J16" s="1573"/>
      <c r="K16" s="1573"/>
      <c r="L16" s="1574"/>
    </row>
    <row r="17" spans="2:12" ht="12.75" customHeight="1">
      <c r="B17" s="1572"/>
      <c r="C17" s="1573"/>
      <c r="D17" s="1573"/>
      <c r="E17" s="1573"/>
      <c r="F17" s="1573"/>
      <c r="G17" s="1573"/>
      <c r="H17" s="1573"/>
      <c r="I17" s="1573"/>
      <c r="J17" s="1573"/>
      <c r="K17" s="1573"/>
      <c r="L17" s="1574"/>
    </row>
    <row r="18" spans="2:12" ht="12.75" customHeight="1">
      <c r="B18" s="1572"/>
      <c r="C18" s="1573"/>
      <c r="D18" s="1573"/>
      <c r="E18" s="1573"/>
      <c r="F18" s="1573"/>
      <c r="G18" s="1573"/>
      <c r="H18" s="1573"/>
      <c r="I18" s="1573"/>
      <c r="J18" s="1573"/>
      <c r="K18" s="1573"/>
      <c r="L18" s="1574"/>
    </row>
    <row r="19" spans="2:12" ht="12.75" customHeight="1">
      <c r="B19" s="1572"/>
      <c r="C19" s="1573"/>
      <c r="D19" s="1573"/>
      <c r="E19" s="1573"/>
      <c r="F19" s="1573"/>
      <c r="G19" s="1573"/>
      <c r="H19" s="1573"/>
      <c r="I19" s="1573"/>
      <c r="J19" s="1573"/>
      <c r="K19" s="1573"/>
      <c r="L19" s="1574"/>
    </row>
    <row r="20" spans="2:12" ht="12.75" customHeight="1">
      <c r="B20" s="1572"/>
      <c r="C20" s="1573"/>
      <c r="D20" s="1573"/>
      <c r="E20" s="1573"/>
      <c r="F20" s="1573"/>
      <c r="G20" s="1573"/>
      <c r="H20" s="1573"/>
      <c r="I20" s="1573"/>
      <c r="J20" s="1573"/>
      <c r="K20" s="1573"/>
      <c r="L20" s="1574"/>
    </row>
    <row r="21" spans="2:12" ht="12.75" customHeight="1">
      <c r="B21" s="1572"/>
      <c r="C21" s="1573"/>
      <c r="D21" s="1573"/>
      <c r="E21" s="1573"/>
      <c r="F21" s="1573"/>
      <c r="G21" s="1573"/>
      <c r="H21" s="1573"/>
      <c r="I21" s="1573"/>
      <c r="J21" s="1573"/>
      <c r="K21" s="1573"/>
      <c r="L21" s="1574"/>
    </row>
    <row r="22" spans="2:12" ht="12.75" customHeight="1">
      <c r="B22" s="1572"/>
      <c r="C22" s="1573"/>
      <c r="D22" s="1573"/>
      <c r="E22" s="1573"/>
      <c r="F22" s="1573"/>
      <c r="G22" s="1573"/>
      <c r="H22" s="1573"/>
      <c r="I22" s="1573"/>
      <c r="J22" s="1573"/>
      <c r="K22" s="1573"/>
      <c r="L22" s="1574"/>
    </row>
    <row r="23" spans="2:12" ht="12.75" customHeight="1">
      <c r="B23" s="1572"/>
      <c r="C23" s="1573"/>
      <c r="D23" s="1573"/>
      <c r="E23" s="1573"/>
      <c r="F23" s="1573"/>
      <c r="G23" s="1573"/>
      <c r="H23" s="1573"/>
      <c r="I23" s="1573"/>
      <c r="J23" s="1573"/>
      <c r="K23" s="1573"/>
      <c r="L23" s="1574"/>
    </row>
    <row r="24" spans="2:12" ht="12.75" customHeight="1">
      <c r="B24" s="1572"/>
      <c r="C24" s="1573"/>
      <c r="D24" s="1573"/>
      <c r="E24" s="1573"/>
      <c r="F24" s="1573"/>
      <c r="G24" s="1573"/>
      <c r="H24" s="1573"/>
      <c r="I24" s="1573"/>
      <c r="J24" s="1573"/>
      <c r="K24" s="1573"/>
      <c r="L24" s="1574"/>
    </row>
    <row r="25" spans="2:12" ht="12.75" customHeight="1">
      <c r="B25" s="1572"/>
      <c r="C25" s="1573"/>
      <c r="D25" s="1573"/>
      <c r="E25" s="1573"/>
      <c r="F25" s="1573"/>
      <c r="G25" s="1573"/>
      <c r="H25" s="1573"/>
      <c r="I25" s="1573"/>
      <c r="J25" s="1573"/>
      <c r="K25" s="1573"/>
      <c r="L25" s="1574"/>
    </row>
    <row r="26" spans="2:12" ht="12.75" customHeight="1">
      <c r="B26" s="1572"/>
      <c r="C26" s="1573"/>
      <c r="D26" s="1573"/>
      <c r="E26" s="1573"/>
      <c r="F26" s="1573"/>
      <c r="G26" s="1573"/>
      <c r="H26" s="1573"/>
      <c r="I26" s="1573"/>
      <c r="J26" s="1573"/>
      <c r="K26" s="1573"/>
      <c r="L26" s="1574"/>
    </row>
    <row r="27" spans="2:12" ht="12.75" customHeight="1">
      <c r="B27" s="1572"/>
      <c r="C27" s="1573"/>
      <c r="D27" s="1573"/>
      <c r="E27" s="1573"/>
      <c r="F27" s="1573"/>
      <c r="G27" s="1573"/>
      <c r="H27" s="1573"/>
      <c r="I27" s="1573"/>
      <c r="J27" s="1573"/>
      <c r="K27" s="1573"/>
      <c r="L27" s="1574"/>
    </row>
    <row r="28" spans="2:12" ht="12.75" customHeight="1">
      <c r="B28" s="1572"/>
      <c r="C28" s="1573"/>
      <c r="D28" s="1573"/>
      <c r="E28" s="1573"/>
      <c r="F28" s="1573"/>
      <c r="G28" s="1573"/>
      <c r="H28" s="1573"/>
      <c r="I28" s="1573"/>
      <c r="J28" s="1573"/>
      <c r="K28" s="1573"/>
      <c r="L28" s="1574"/>
    </row>
    <row r="29" spans="2:12" ht="12.75" customHeight="1">
      <c r="B29" s="1572"/>
      <c r="C29" s="1573"/>
      <c r="D29" s="1573"/>
      <c r="E29" s="1573"/>
      <c r="F29" s="1573"/>
      <c r="G29" s="1573"/>
      <c r="H29" s="1573"/>
      <c r="I29" s="1573"/>
      <c r="J29" s="1573"/>
      <c r="K29" s="1573"/>
      <c r="L29" s="1574"/>
    </row>
    <row r="30" spans="2:12" ht="12.75" customHeight="1">
      <c r="B30" s="1572"/>
      <c r="C30" s="1573"/>
      <c r="D30" s="1573"/>
      <c r="E30" s="1573"/>
      <c r="F30" s="1573"/>
      <c r="G30" s="1573"/>
      <c r="H30" s="1573"/>
      <c r="I30" s="1573"/>
      <c r="J30" s="1573"/>
      <c r="K30" s="1573"/>
      <c r="L30" s="1574"/>
    </row>
    <row r="31" spans="2:12" ht="12.75" customHeight="1">
      <c r="B31" s="1572"/>
      <c r="C31" s="1573"/>
      <c r="D31" s="1573"/>
      <c r="E31" s="1573"/>
      <c r="F31" s="1573"/>
      <c r="G31" s="1573"/>
      <c r="H31" s="1573"/>
      <c r="I31" s="1573"/>
      <c r="J31" s="1573"/>
      <c r="K31" s="1573"/>
      <c r="L31" s="1574"/>
    </row>
    <row r="32" spans="2:12" ht="12.75" customHeight="1">
      <c r="B32" s="1572"/>
      <c r="C32" s="1573"/>
      <c r="D32" s="1573"/>
      <c r="E32" s="1573"/>
      <c r="F32" s="1573"/>
      <c r="G32" s="1573"/>
      <c r="H32" s="1573"/>
      <c r="I32" s="1573"/>
      <c r="J32" s="1573"/>
      <c r="K32" s="1573"/>
      <c r="L32" s="1574"/>
    </row>
    <row r="33" spans="2:12" ht="12.75" customHeight="1">
      <c r="B33" s="1572"/>
      <c r="C33" s="1573"/>
      <c r="D33" s="1573"/>
      <c r="E33" s="1573"/>
      <c r="F33" s="1573"/>
      <c r="G33" s="1573"/>
      <c r="H33" s="1573"/>
      <c r="I33" s="1573"/>
      <c r="J33" s="1573"/>
      <c r="K33" s="1573"/>
      <c r="L33" s="1574"/>
    </row>
    <row r="34" spans="2:12" ht="12.75" customHeight="1">
      <c r="B34" s="1572"/>
      <c r="C34" s="1573"/>
      <c r="D34" s="1573"/>
      <c r="E34" s="1573"/>
      <c r="F34" s="1573"/>
      <c r="G34" s="1573"/>
      <c r="H34" s="1573"/>
      <c r="I34" s="1573"/>
      <c r="J34" s="1573"/>
      <c r="K34" s="1573"/>
      <c r="L34" s="1574"/>
    </row>
    <row r="35" spans="2:12" ht="12.75" customHeight="1">
      <c r="B35" s="1572"/>
      <c r="C35" s="1573"/>
      <c r="D35" s="1573"/>
      <c r="E35" s="1573"/>
      <c r="F35" s="1573"/>
      <c r="G35" s="1573"/>
      <c r="H35" s="1573"/>
      <c r="I35" s="1573"/>
      <c r="J35" s="1573"/>
      <c r="K35" s="1573"/>
      <c r="L35" s="1574"/>
    </row>
    <row r="36" spans="2:12" ht="174" customHeight="1" thickBot="1">
      <c r="B36" s="1597"/>
      <c r="C36" s="1598"/>
      <c r="D36" s="1598"/>
      <c r="E36" s="1598"/>
      <c r="F36" s="1598"/>
      <c r="G36" s="1598"/>
      <c r="H36" s="1598"/>
      <c r="I36" s="1598"/>
      <c r="J36" s="1598"/>
      <c r="K36" s="1598"/>
      <c r="L36" s="1599"/>
    </row>
  </sheetData>
  <mergeCells count="2">
    <mergeCell ref="B4:L36"/>
    <mergeCell ref="B3:L3"/>
  </mergeCells>
  <pageMargins left="0.7" right="0.7"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21249-DBE5-4A46-B058-5F9EB91E9643}">
  <sheetPr codeName="Lapas5"/>
  <dimension ref="B1:X88"/>
  <sheetViews>
    <sheetView zoomScale="120" zoomScaleNormal="120" workbookViewId="0">
      <pane xSplit="5" ySplit="10" topLeftCell="F84" activePane="bottomRight" state="frozen"/>
      <selection pane="topRight" activeCell="F1" sqref="F1"/>
      <selection pane="bottomLeft" activeCell="A12" sqref="A12"/>
      <selection pane="bottomRight" activeCell="E67" sqref="E67"/>
    </sheetView>
  </sheetViews>
  <sheetFormatPr defaultColWidth="9.15234375" defaultRowHeight="11.6"/>
  <cols>
    <col min="1" max="1" width="9.15234375" style="544" customWidth="1"/>
    <col min="2" max="2" width="9.15234375" style="544"/>
    <col min="3" max="3" width="7.53515625" style="544" customWidth="1"/>
    <col min="4" max="4" width="32.15234375" style="544" customWidth="1"/>
    <col min="5" max="5" width="38.69140625" style="544" customWidth="1"/>
    <col min="6" max="6" width="18.3046875" style="670" customWidth="1"/>
    <col min="7" max="7" width="20.84375" style="670" hidden="1" customWidth="1"/>
    <col min="8" max="8" width="19.3828125" style="670" customWidth="1"/>
    <col min="9" max="9" width="16.3046875" style="670" customWidth="1"/>
    <col min="10" max="10" width="15.69140625" style="670" customWidth="1"/>
    <col min="11" max="11" width="14.15234375" style="670" customWidth="1"/>
    <col min="12" max="12" width="20.84375" style="670" hidden="1" customWidth="1"/>
    <col min="13" max="13" width="20.53515625" style="670" customWidth="1"/>
    <col min="14" max="14" width="14.3046875" style="544" customWidth="1"/>
    <col min="15" max="15" width="44" style="544" customWidth="1"/>
    <col min="16" max="16384" width="9.15234375" style="544"/>
  </cols>
  <sheetData>
    <row r="1" spans="2:14" ht="12" thickBot="1">
      <c r="E1" s="669"/>
    </row>
    <row r="2" spans="2:14" ht="15.75" customHeight="1">
      <c r="B2" s="1602" t="s">
        <v>3529</v>
      </c>
      <c r="C2" s="1603"/>
      <c r="D2" s="1603"/>
      <c r="E2" s="1603"/>
      <c r="F2" s="1603"/>
      <c r="G2" s="1603"/>
      <c r="H2" s="1603"/>
      <c r="I2" s="1603"/>
      <c r="J2" s="1603"/>
      <c r="K2" s="1603"/>
      <c r="L2" s="1603"/>
      <c r="M2" s="1603"/>
      <c r="N2" s="1604"/>
    </row>
    <row r="3" spans="2:14" ht="16.5" customHeight="1">
      <c r="B3" s="1605"/>
      <c r="C3" s="1606"/>
      <c r="D3" s="1606"/>
      <c r="E3" s="1606"/>
      <c r="F3" s="1606"/>
      <c r="G3" s="1606"/>
      <c r="H3" s="1606"/>
      <c r="I3" s="1606"/>
      <c r="J3" s="1606"/>
      <c r="K3" s="1606"/>
      <c r="L3" s="1606"/>
      <c r="M3" s="1606"/>
      <c r="N3" s="1607"/>
    </row>
    <row r="4" spans="2:14" ht="16.5" customHeight="1">
      <c r="B4" s="1605"/>
      <c r="C4" s="1606"/>
      <c r="D4" s="1606"/>
      <c r="E4" s="1606"/>
      <c r="F4" s="1606"/>
      <c r="G4" s="1606"/>
      <c r="H4" s="1606"/>
      <c r="I4" s="1606"/>
      <c r="J4" s="1606"/>
      <c r="K4" s="1606"/>
      <c r="L4" s="1606"/>
      <c r="M4" s="1606"/>
      <c r="N4" s="1607"/>
    </row>
    <row r="5" spans="2:14" ht="12.75" customHeight="1" thickBot="1">
      <c r="B5" s="1608"/>
      <c r="C5" s="1609"/>
      <c r="D5" s="1609"/>
      <c r="E5" s="1609"/>
      <c r="F5" s="1609"/>
      <c r="G5" s="1609"/>
      <c r="H5" s="1609"/>
      <c r="I5" s="1609"/>
      <c r="J5" s="1609"/>
      <c r="K5" s="1609"/>
      <c r="L5" s="1609"/>
      <c r="M5" s="1609"/>
      <c r="N5" s="1610"/>
    </row>
    <row r="6" spans="2:14">
      <c r="B6" s="671"/>
      <c r="E6" s="672"/>
      <c r="N6" s="673"/>
    </row>
    <row r="7" spans="2:14" ht="33" customHeight="1">
      <c r="B7" s="671"/>
      <c r="C7" s="1613"/>
      <c r="D7" s="1613"/>
      <c r="N7" s="673"/>
    </row>
    <row r="8" spans="2:14" ht="46.5" customHeight="1">
      <c r="B8" s="671"/>
      <c r="C8" s="1615" t="s">
        <v>1303</v>
      </c>
      <c r="D8" s="1615" t="s">
        <v>981</v>
      </c>
      <c r="E8" s="1615" t="s">
        <v>982</v>
      </c>
      <c r="F8" s="1611" t="s">
        <v>1316</v>
      </c>
      <c r="G8" s="1611" t="s">
        <v>1056</v>
      </c>
      <c r="H8" s="1611" t="s">
        <v>2852</v>
      </c>
      <c r="I8" s="1611" t="s">
        <v>983</v>
      </c>
      <c r="J8" s="1611"/>
      <c r="K8" s="1611"/>
      <c r="L8" s="1611" t="s">
        <v>1056</v>
      </c>
      <c r="M8" s="1611" t="s">
        <v>1055</v>
      </c>
      <c r="N8" s="673"/>
    </row>
    <row r="9" spans="2:14" ht="26.25" customHeight="1">
      <c r="B9" s="671"/>
      <c r="C9" s="1615"/>
      <c r="D9" s="1615"/>
      <c r="E9" s="1615"/>
      <c r="F9" s="1611"/>
      <c r="G9" s="1611"/>
      <c r="H9" s="1611"/>
      <c r="I9" s="1441" t="s">
        <v>1035</v>
      </c>
      <c r="J9" s="1441" t="s">
        <v>1036</v>
      </c>
      <c r="K9" s="1441" t="s">
        <v>1053</v>
      </c>
      <c r="L9" s="1611"/>
      <c r="M9" s="1611"/>
      <c r="N9" s="673"/>
    </row>
    <row r="10" spans="2:14" ht="14.25" customHeight="1">
      <c r="B10" s="671"/>
      <c r="C10" s="1442">
        <v>1</v>
      </c>
      <c r="D10" s="1442">
        <v>2</v>
      </c>
      <c r="E10" s="1442">
        <v>3</v>
      </c>
      <c r="F10" s="674">
        <v>4</v>
      </c>
      <c r="G10" s="674">
        <v>8</v>
      </c>
      <c r="H10" s="674"/>
      <c r="I10" s="674">
        <v>5</v>
      </c>
      <c r="J10" s="674">
        <v>6</v>
      </c>
      <c r="K10" s="674">
        <v>7</v>
      </c>
      <c r="L10" s="674">
        <v>8</v>
      </c>
      <c r="M10" s="674">
        <v>9</v>
      </c>
      <c r="N10" s="673"/>
    </row>
    <row r="11" spans="2:14" ht="50.5" customHeight="1">
      <c r="B11" s="671"/>
      <c r="C11" s="1443" t="s">
        <v>1032</v>
      </c>
      <c r="D11" s="1444" t="s">
        <v>2442</v>
      </c>
      <c r="E11" s="1444" t="s">
        <v>1054</v>
      </c>
      <c r="F11" s="1445">
        <v>5859</v>
      </c>
      <c r="G11" s="1445" t="s">
        <v>3353</v>
      </c>
      <c r="H11" s="1445" t="s">
        <v>3353</v>
      </c>
      <c r="I11" s="1445">
        <v>7450</v>
      </c>
      <c r="J11" s="1445">
        <v>7460</v>
      </c>
      <c r="K11" s="1445">
        <v>7470</v>
      </c>
      <c r="L11" s="1445">
        <v>7470</v>
      </c>
      <c r="M11" s="1445">
        <v>8000</v>
      </c>
      <c r="N11" s="673"/>
    </row>
    <row r="12" spans="2:14" ht="43.5" customHeight="1">
      <c r="B12" s="671"/>
      <c r="C12" s="1616" t="s">
        <v>1075</v>
      </c>
      <c r="D12" s="1617" t="s">
        <v>1304</v>
      </c>
      <c r="E12" s="1442" t="s">
        <v>1057</v>
      </c>
      <c r="F12" s="674" t="s">
        <v>1059</v>
      </c>
      <c r="G12" s="674" t="s">
        <v>1059</v>
      </c>
      <c r="H12" s="674" t="s">
        <v>3727</v>
      </c>
      <c r="I12" s="674">
        <v>889</v>
      </c>
      <c r="J12" s="674">
        <v>890</v>
      </c>
      <c r="K12" s="674">
        <v>891</v>
      </c>
      <c r="L12" s="674" t="s">
        <v>1059</v>
      </c>
      <c r="M12" s="674" t="s">
        <v>1061</v>
      </c>
      <c r="N12" s="673"/>
    </row>
    <row r="13" spans="2:14" ht="45" customHeight="1">
      <c r="B13" s="671"/>
      <c r="C13" s="1616"/>
      <c r="D13" s="1617"/>
      <c r="E13" s="1442" t="s">
        <v>1058</v>
      </c>
      <c r="F13" s="674" t="s">
        <v>1060</v>
      </c>
      <c r="G13" s="674" t="s">
        <v>1060</v>
      </c>
      <c r="H13" s="674" t="s">
        <v>3728</v>
      </c>
      <c r="I13" s="1447">
        <v>739</v>
      </c>
      <c r="J13" s="1447">
        <v>740</v>
      </c>
      <c r="K13" s="1447">
        <v>741</v>
      </c>
      <c r="L13" s="674" t="s">
        <v>1060</v>
      </c>
      <c r="M13" s="674" t="s">
        <v>1062</v>
      </c>
      <c r="N13" s="673"/>
    </row>
    <row r="14" spans="2:14" ht="55.5" customHeight="1">
      <c r="B14" s="671"/>
      <c r="C14" s="1446" t="s">
        <v>1305</v>
      </c>
      <c r="D14" s="1442" t="s">
        <v>1306</v>
      </c>
      <c r="E14" s="1442" t="s">
        <v>1063</v>
      </c>
      <c r="F14" s="674" t="s">
        <v>1070</v>
      </c>
      <c r="G14" s="674" t="s">
        <v>1070</v>
      </c>
      <c r="H14" s="674">
        <v>14.8</v>
      </c>
      <c r="I14" s="1447">
        <v>14.78</v>
      </c>
      <c r="J14" s="1447">
        <v>14.8</v>
      </c>
      <c r="K14" s="1447">
        <v>15</v>
      </c>
      <c r="L14" s="674" t="s">
        <v>1070</v>
      </c>
      <c r="M14" s="674" t="s">
        <v>1067</v>
      </c>
      <c r="N14" s="673"/>
    </row>
    <row r="15" spans="2:14" ht="55.5" customHeight="1">
      <c r="B15" s="671"/>
      <c r="C15" s="1616"/>
      <c r="D15" s="1617"/>
      <c r="E15" s="1442" t="s">
        <v>1064</v>
      </c>
      <c r="F15" s="674" t="s">
        <v>3355</v>
      </c>
      <c r="G15" s="674" t="s">
        <v>3354</v>
      </c>
      <c r="H15" s="674">
        <v>18.82</v>
      </c>
      <c r="I15" s="1447">
        <v>19.55</v>
      </c>
      <c r="J15" s="1447">
        <v>20</v>
      </c>
      <c r="K15" s="1447">
        <v>20</v>
      </c>
      <c r="L15" s="674" t="s">
        <v>1071</v>
      </c>
      <c r="M15" s="674" t="s">
        <v>1067</v>
      </c>
      <c r="N15" s="673"/>
    </row>
    <row r="16" spans="2:14" ht="43.5" customHeight="1">
      <c r="B16" s="671"/>
      <c r="C16" s="1616"/>
      <c r="D16" s="1617"/>
      <c r="E16" s="1442" t="s">
        <v>1065</v>
      </c>
      <c r="F16" s="674" t="s">
        <v>1072</v>
      </c>
      <c r="G16" s="674" t="s">
        <v>1072</v>
      </c>
      <c r="H16" s="674">
        <v>1</v>
      </c>
      <c r="I16" s="1447">
        <v>1</v>
      </c>
      <c r="J16" s="1447">
        <v>0</v>
      </c>
      <c r="K16" s="1447">
        <v>0</v>
      </c>
      <c r="L16" s="674" t="s">
        <v>1072</v>
      </c>
      <c r="M16" s="674" t="s">
        <v>1068</v>
      </c>
      <c r="N16" s="673"/>
    </row>
    <row r="17" spans="2:14" ht="45.75" customHeight="1">
      <c r="B17" s="671"/>
      <c r="C17" s="1616"/>
      <c r="D17" s="1617"/>
      <c r="E17" s="1442" t="s">
        <v>1066</v>
      </c>
      <c r="F17" s="674" t="s">
        <v>1073</v>
      </c>
      <c r="G17" s="674" t="s">
        <v>1073</v>
      </c>
      <c r="H17" s="674">
        <v>15</v>
      </c>
      <c r="I17" s="1447">
        <v>25</v>
      </c>
      <c r="J17" s="1447">
        <v>35</v>
      </c>
      <c r="K17" s="1447">
        <v>45</v>
      </c>
      <c r="L17" s="674" t="s">
        <v>1073</v>
      </c>
      <c r="M17" s="674" t="s">
        <v>1069</v>
      </c>
      <c r="N17" s="673"/>
    </row>
    <row r="18" spans="2:14" ht="55.5" customHeight="1">
      <c r="B18" s="671"/>
      <c r="C18" s="1446" t="s">
        <v>1079</v>
      </c>
      <c r="D18" s="1442" t="s">
        <v>1080</v>
      </c>
      <c r="E18" s="1442" t="s">
        <v>1074</v>
      </c>
      <c r="F18" s="674" t="s">
        <v>1081</v>
      </c>
      <c r="G18" s="674" t="s">
        <v>1081</v>
      </c>
      <c r="H18" s="674">
        <v>2</v>
      </c>
      <c r="I18" s="1447">
        <v>2</v>
      </c>
      <c r="J18" s="1447">
        <v>2</v>
      </c>
      <c r="K18" s="1447">
        <v>3</v>
      </c>
      <c r="L18" s="674" t="s">
        <v>1081</v>
      </c>
      <c r="M18" s="674" t="s">
        <v>1082</v>
      </c>
      <c r="N18" s="673"/>
    </row>
    <row r="19" spans="2:14" ht="57.75" customHeight="1">
      <c r="B19" s="671"/>
      <c r="C19" s="1443" t="s">
        <v>1033</v>
      </c>
      <c r="D19" s="1444" t="s">
        <v>1307</v>
      </c>
      <c r="E19" s="1444" t="s">
        <v>1083</v>
      </c>
      <c r="F19" s="1448" t="s">
        <v>1084</v>
      </c>
      <c r="G19" s="1445" t="s">
        <v>1084</v>
      </c>
      <c r="H19" s="1448">
        <v>8967</v>
      </c>
      <c r="I19" s="1448">
        <v>7855</v>
      </c>
      <c r="J19" s="1448">
        <v>8000</v>
      </c>
      <c r="K19" s="1448">
        <v>8100</v>
      </c>
      <c r="L19" s="1445" t="s">
        <v>1084</v>
      </c>
      <c r="M19" s="1445" t="s">
        <v>1085</v>
      </c>
      <c r="N19" s="673"/>
    </row>
    <row r="20" spans="2:14" ht="64.5" customHeight="1">
      <c r="B20" s="671"/>
      <c r="C20" s="1446" t="s">
        <v>1086</v>
      </c>
      <c r="D20" s="1442" t="s">
        <v>1308</v>
      </c>
      <c r="E20" s="1442" t="s">
        <v>1087</v>
      </c>
      <c r="F20" s="674" t="s">
        <v>1088</v>
      </c>
      <c r="G20" s="674" t="s">
        <v>1088</v>
      </c>
      <c r="H20" s="674">
        <v>72</v>
      </c>
      <c r="I20" s="1447">
        <v>72</v>
      </c>
      <c r="J20" s="1447">
        <v>72</v>
      </c>
      <c r="K20" s="1447">
        <v>72</v>
      </c>
      <c r="L20" s="674" t="s">
        <v>1088</v>
      </c>
      <c r="M20" s="674" t="s">
        <v>1089</v>
      </c>
      <c r="N20" s="673"/>
    </row>
    <row r="21" spans="2:14" ht="66" customHeight="1">
      <c r="B21" s="671"/>
      <c r="C21" s="1446" t="s">
        <v>1309</v>
      </c>
      <c r="D21" s="1442" t="s">
        <v>1310</v>
      </c>
      <c r="E21" s="1442" t="s">
        <v>1092</v>
      </c>
      <c r="F21" s="674" t="s">
        <v>1072</v>
      </c>
      <c r="G21" s="674" t="s">
        <v>1072</v>
      </c>
      <c r="H21" s="674">
        <v>0</v>
      </c>
      <c r="I21" s="1447">
        <v>4</v>
      </c>
      <c r="J21" s="1447">
        <v>1</v>
      </c>
      <c r="K21" s="1447">
        <v>1</v>
      </c>
      <c r="L21" s="674" t="s">
        <v>1072</v>
      </c>
      <c r="M21" s="674" t="s">
        <v>1091</v>
      </c>
      <c r="N21" s="673"/>
    </row>
    <row r="22" spans="2:14" ht="70.5" customHeight="1">
      <c r="B22" s="671"/>
      <c r="C22" s="1446" t="s">
        <v>1093</v>
      </c>
      <c r="D22" s="1442" t="s">
        <v>1311</v>
      </c>
      <c r="E22" s="1442" t="s">
        <v>1094</v>
      </c>
      <c r="F22" s="674" t="s">
        <v>1072</v>
      </c>
      <c r="G22" s="674" t="s">
        <v>1072</v>
      </c>
      <c r="H22" s="674">
        <v>50</v>
      </c>
      <c r="I22" s="1447">
        <v>50</v>
      </c>
      <c r="J22" s="1447">
        <v>100</v>
      </c>
      <c r="K22" s="1447">
        <v>150</v>
      </c>
      <c r="L22" s="674" t="s">
        <v>1072</v>
      </c>
      <c r="M22" s="674" t="s">
        <v>1085</v>
      </c>
      <c r="N22" s="673"/>
    </row>
    <row r="23" spans="2:14" ht="159" customHeight="1">
      <c r="B23" s="671"/>
      <c r="C23" s="1443" t="s">
        <v>1312</v>
      </c>
      <c r="D23" s="1444" t="s">
        <v>1313</v>
      </c>
      <c r="E23" s="1444" t="s">
        <v>1095</v>
      </c>
      <c r="F23" s="1445" t="s">
        <v>1072</v>
      </c>
      <c r="G23" s="1445" t="s">
        <v>1072</v>
      </c>
      <c r="H23" s="1445">
        <v>10</v>
      </c>
      <c r="I23" s="1448">
        <v>50</v>
      </c>
      <c r="J23" s="1448">
        <v>75</v>
      </c>
      <c r="K23" s="1448">
        <v>98</v>
      </c>
      <c r="L23" s="1445" t="s">
        <v>1072</v>
      </c>
      <c r="M23" s="1445" t="s">
        <v>1096</v>
      </c>
      <c r="N23" s="673"/>
    </row>
    <row r="24" spans="2:14" ht="52.2" customHeight="1">
      <c r="B24" s="671"/>
      <c r="C24" s="1616" t="s">
        <v>1097</v>
      </c>
      <c r="D24" s="1617" t="s">
        <v>1098</v>
      </c>
      <c r="E24" s="1442" t="s">
        <v>1099</v>
      </c>
      <c r="F24" s="674" t="s">
        <v>1100</v>
      </c>
      <c r="G24" s="674" t="s">
        <v>1100</v>
      </c>
      <c r="H24" s="674">
        <v>895</v>
      </c>
      <c r="I24" s="1447">
        <v>895</v>
      </c>
      <c r="J24" s="1447">
        <v>983</v>
      </c>
      <c r="K24" s="1447">
        <v>983</v>
      </c>
      <c r="L24" s="674" t="s">
        <v>1100</v>
      </c>
      <c r="M24" s="674" t="s">
        <v>1101</v>
      </c>
      <c r="N24" s="673"/>
    </row>
    <row r="25" spans="2:14" ht="48" customHeight="1">
      <c r="B25" s="671"/>
      <c r="C25" s="1616"/>
      <c r="D25" s="1617"/>
      <c r="E25" s="1442" t="s">
        <v>1102</v>
      </c>
      <c r="F25" s="674" t="s">
        <v>1072</v>
      </c>
      <c r="G25" s="674" t="s">
        <v>1072</v>
      </c>
      <c r="H25" s="674">
        <v>0</v>
      </c>
      <c r="I25" s="1447">
        <v>0</v>
      </c>
      <c r="J25" s="1447">
        <v>40</v>
      </c>
      <c r="K25" s="1447">
        <v>0</v>
      </c>
      <c r="L25" s="674" t="s">
        <v>1072</v>
      </c>
      <c r="M25" s="674" t="s">
        <v>1103</v>
      </c>
      <c r="N25" s="680"/>
    </row>
    <row r="26" spans="2:14" ht="52.5" customHeight="1">
      <c r="B26" s="671"/>
      <c r="C26" s="1446" t="s">
        <v>1104</v>
      </c>
      <c r="D26" s="1442" t="s">
        <v>1105</v>
      </c>
      <c r="E26" s="1442" t="s">
        <v>1106</v>
      </c>
      <c r="F26" s="674" t="s">
        <v>1072</v>
      </c>
      <c r="G26" s="674" t="s">
        <v>1072</v>
      </c>
      <c r="H26" s="674">
        <v>0</v>
      </c>
      <c r="I26" s="1447">
        <v>0</v>
      </c>
      <c r="J26" s="1447">
        <v>35</v>
      </c>
      <c r="K26" s="1447">
        <v>45</v>
      </c>
      <c r="L26" s="674" t="s">
        <v>1072</v>
      </c>
      <c r="M26" s="674" t="s">
        <v>1107</v>
      </c>
      <c r="N26" s="673"/>
    </row>
    <row r="27" spans="2:14" ht="69.45">
      <c r="B27" s="671"/>
      <c r="C27" s="1446" t="s">
        <v>1283</v>
      </c>
      <c r="D27" s="1442" t="s">
        <v>1108</v>
      </c>
      <c r="E27" s="1442" t="s">
        <v>2807</v>
      </c>
      <c r="F27" s="674" t="s">
        <v>1072</v>
      </c>
      <c r="G27" s="674" t="s">
        <v>1072</v>
      </c>
      <c r="H27" s="674">
        <v>0</v>
      </c>
      <c r="I27" s="1447">
        <v>3</v>
      </c>
      <c r="J27" s="1447">
        <v>3</v>
      </c>
      <c r="K27" s="1447">
        <v>3</v>
      </c>
      <c r="L27" s="674" t="s">
        <v>1072</v>
      </c>
      <c r="M27" s="674" t="s">
        <v>1109</v>
      </c>
      <c r="N27" s="673"/>
    </row>
    <row r="28" spans="2:14" ht="46.3">
      <c r="B28" s="366"/>
      <c r="C28" s="1446" t="s">
        <v>1110</v>
      </c>
      <c r="D28" s="1442" t="s">
        <v>1111</v>
      </c>
      <c r="E28" s="1442" t="s">
        <v>1112</v>
      </c>
      <c r="F28" s="674" t="s">
        <v>1072</v>
      </c>
      <c r="G28" s="674" t="s">
        <v>1072</v>
      </c>
      <c r="H28" s="674">
        <v>1</v>
      </c>
      <c r="I28" s="1447">
        <v>1</v>
      </c>
      <c r="J28" s="1447">
        <v>1</v>
      </c>
      <c r="K28" s="1447">
        <v>1</v>
      </c>
      <c r="L28" s="674" t="s">
        <v>1072</v>
      </c>
      <c r="M28" s="674" t="s">
        <v>1091</v>
      </c>
      <c r="N28" s="673"/>
    </row>
    <row r="29" spans="2:14" ht="60.75" customHeight="1">
      <c r="B29" s="671"/>
      <c r="C29" s="1446" t="s">
        <v>1113</v>
      </c>
      <c r="D29" s="1442" t="s">
        <v>1114</v>
      </c>
      <c r="E29" s="1442" t="s">
        <v>509</v>
      </c>
      <c r="F29" s="674" t="s">
        <v>1115</v>
      </c>
      <c r="G29" s="674" t="s">
        <v>1115</v>
      </c>
      <c r="H29" s="674">
        <v>2</v>
      </c>
      <c r="I29" s="1447">
        <v>0</v>
      </c>
      <c r="J29" s="1447">
        <v>1</v>
      </c>
      <c r="K29" s="1447">
        <v>4</v>
      </c>
      <c r="L29" s="674" t="s">
        <v>1115</v>
      </c>
      <c r="M29" s="674" t="s">
        <v>1078</v>
      </c>
      <c r="N29" s="673"/>
    </row>
    <row r="30" spans="2:14" ht="101.25" customHeight="1">
      <c r="B30" s="671"/>
      <c r="C30" s="1446" t="s">
        <v>1118</v>
      </c>
      <c r="D30" s="1442" t="s">
        <v>1119</v>
      </c>
      <c r="E30" s="1442" t="s">
        <v>1120</v>
      </c>
      <c r="F30" s="674" t="s">
        <v>1072</v>
      </c>
      <c r="G30" s="674" t="s">
        <v>1072</v>
      </c>
      <c r="H30" s="674">
        <v>80</v>
      </c>
      <c r="I30" s="1447">
        <v>80</v>
      </c>
      <c r="J30" s="1447">
        <v>82</v>
      </c>
      <c r="K30" s="1447">
        <v>85</v>
      </c>
      <c r="L30" s="674" t="s">
        <v>1072</v>
      </c>
      <c r="M30" s="674" t="s">
        <v>1121</v>
      </c>
      <c r="N30" s="673"/>
    </row>
    <row r="31" spans="2:14" ht="90.75" customHeight="1">
      <c r="B31" s="671"/>
      <c r="C31" s="1443" t="s">
        <v>1284</v>
      </c>
      <c r="D31" s="1444" t="s">
        <v>1124</v>
      </c>
      <c r="E31" s="1444" t="s">
        <v>1125</v>
      </c>
      <c r="F31" s="1445" t="s">
        <v>1126</v>
      </c>
      <c r="G31" s="1445" t="s">
        <v>1126</v>
      </c>
      <c r="H31" s="1445">
        <v>10</v>
      </c>
      <c r="I31" s="1448">
        <v>12</v>
      </c>
      <c r="J31" s="1448">
        <v>12</v>
      </c>
      <c r="K31" s="1448">
        <v>13</v>
      </c>
      <c r="L31" s="1445" t="s">
        <v>1126</v>
      </c>
      <c r="M31" s="1445" t="s">
        <v>1127</v>
      </c>
      <c r="N31" s="673"/>
    </row>
    <row r="32" spans="2:14" ht="46.3">
      <c r="B32" s="671"/>
      <c r="C32" s="1446" t="s">
        <v>1128</v>
      </c>
      <c r="D32" s="1442" t="s">
        <v>1129</v>
      </c>
      <c r="E32" s="1442" t="s">
        <v>1130</v>
      </c>
      <c r="F32" s="674" t="s">
        <v>1131</v>
      </c>
      <c r="G32" s="674" t="s">
        <v>1131</v>
      </c>
      <c r="H32" s="674" t="s">
        <v>2375</v>
      </c>
      <c r="I32" s="1447">
        <v>3000</v>
      </c>
      <c r="J32" s="1447">
        <v>3600</v>
      </c>
      <c r="K32" s="1447">
        <v>4000</v>
      </c>
      <c r="L32" s="674" t="s">
        <v>1131</v>
      </c>
      <c r="M32" s="674" t="s">
        <v>2808</v>
      </c>
      <c r="N32" s="673"/>
    </row>
    <row r="33" spans="2:14" ht="33.75" customHeight="1">
      <c r="B33" s="366"/>
      <c r="C33" s="1446" t="s">
        <v>1132</v>
      </c>
      <c r="D33" s="1442" t="s">
        <v>1133</v>
      </c>
      <c r="E33" s="1442" t="s">
        <v>2391</v>
      </c>
      <c r="F33" s="674" t="s">
        <v>1134</v>
      </c>
      <c r="G33" s="674" t="s">
        <v>1134</v>
      </c>
      <c r="H33" s="674" t="s">
        <v>3363</v>
      </c>
      <c r="I33" s="1447">
        <v>20</v>
      </c>
      <c r="J33" s="1447">
        <v>20</v>
      </c>
      <c r="K33" s="1447">
        <v>25</v>
      </c>
      <c r="L33" s="674" t="s">
        <v>1134</v>
      </c>
      <c r="M33" s="674" t="s">
        <v>1135</v>
      </c>
      <c r="N33" s="673"/>
    </row>
    <row r="34" spans="2:14" ht="69.45">
      <c r="B34" s="671"/>
      <c r="C34" s="1446" t="s">
        <v>1136</v>
      </c>
      <c r="D34" s="1442" t="s">
        <v>1137</v>
      </c>
      <c r="E34" s="1442" t="s">
        <v>1138</v>
      </c>
      <c r="F34" s="674" t="s">
        <v>1218</v>
      </c>
      <c r="G34" s="674" t="s">
        <v>1139</v>
      </c>
      <c r="H34" s="674" t="s">
        <v>3363</v>
      </c>
      <c r="I34" s="1447">
        <v>30</v>
      </c>
      <c r="J34" s="1447">
        <v>30</v>
      </c>
      <c r="K34" s="1447">
        <v>30</v>
      </c>
      <c r="L34" s="674" t="s">
        <v>1139</v>
      </c>
      <c r="M34" s="674" t="s">
        <v>1122</v>
      </c>
      <c r="N34" s="673"/>
    </row>
    <row r="35" spans="2:14" ht="41.25" customHeight="1">
      <c r="B35" s="671"/>
      <c r="C35" s="1446" t="s">
        <v>1140</v>
      </c>
      <c r="D35" s="1442" t="s">
        <v>1141</v>
      </c>
      <c r="E35" s="1442" t="s">
        <v>1142</v>
      </c>
      <c r="F35" s="674" t="s">
        <v>1072</v>
      </c>
      <c r="G35" s="674" t="s">
        <v>1072</v>
      </c>
      <c r="H35" s="674" t="s">
        <v>3364</v>
      </c>
      <c r="I35" s="1447">
        <v>40</v>
      </c>
      <c r="J35" s="1447">
        <v>50</v>
      </c>
      <c r="K35" s="1447">
        <v>60</v>
      </c>
      <c r="L35" s="674" t="s">
        <v>1072</v>
      </c>
      <c r="M35" s="674" t="s">
        <v>1121</v>
      </c>
      <c r="N35" s="673"/>
    </row>
    <row r="36" spans="2:14" ht="70.5" customHeight="1">
      <c r="B36" s="671"/>
      <c r="C36" s="1446" t="s">
        <v>1143</v>
      </c>
      <c r="D36" s="1442" t="s">
        <v>1144</v>
      </c>
      <c r="E36" s="1442" t="s">
        <v>1145</v>
      </c>
      <c r="F36" s="674" t="s">
        <v>1072</v>
      </c>
      <c r="G36" s="674" t="s">
        <v>1072</v>
      </c>
      <c r="H36" s="674" t="s">
        <v>3365</v>
      </c>
      <c r="I36" s="1447">
        <v>1</v>
      </c>
      <c r="J36" s="1447">
        <v>1</v>
      </c>
      <c r="K36" s="1447">
        <v>1.5</v>
      </c>
      <c r="L36" s="674" t="s">
        <v>1072</v>
      </c>
      <c r="M36" s="674" t="s">
        <v>1078</v>
      </c>
      <c r="N36" s="673"/>
    </row>
    <row r="37" spans="2:14" ht="59.5" customHeight="1">
      <c r="B37" s="671"/>
      <c r="C37" s="1443" t="s">
        <v>1285</v>
      </c>
      <c r="D37" s="1444" t="s">
        <v>1146</v>
      </c>
      <c r="E37" s="1444" t="s">
        <v>1147</v>
      </c>
      <c r="F37" s="1445" t="s">
        <v>1072</v>
      </c>
      <c r="G37" s="1445" t="s">
        <v>1072</v>
      </c>
      <c r="H37" s="1445">
        <v>20</v>
      </c>
      <c r="I37" s="1448">
        <v>40</v>
      </c>
      <c r="J37" s="1448">
        <v>50</v>
      </c>
      <c r="K37" s="1448">
        <v>60</v>
      </c>
      <c r="L37" s="1445" t="s">
        <v>1072</v>
      </c>
      <c r="M37" s="1445" t="s">
        <v>1148</v>
      </c>
      <c r="N37" s="673"/>
    </row>
    <row r="38" spans="2:14" ht="46.3">
      <c r="B38" s="366"/>
      <c r="C38" s="1446" t="s">
        <v>1149</v>
      </c>
      <c r="D38" s="1442" t="s">
        <v>1150</v>
      </c>
      <c r="E38" s="1442" t="s">
        <v>1151</v>
      </c>
      <c r="F38" s="674" t="s">
        <v>1152</v>
      </c>
      <c r="G38" s="674" t="s">
        <v>1152</v>
      </c>
      <c r="H38" s="674">
        <v>22</v>
      </c>
      <c r="I38" s="1447">
        <v>20</v>
      </c>
      <c r="J38" s="1447">
        <v>30</v>
      </c>
      <c r="K38" s="1447">
        <v>50</v>
      </c>
      <c r="L38" s="674" t="s">
        <v>1152</v>
      </c>
      <c r="M38" s="674" t="s">
        <v>1153</v>
      </c>
      <c r="N38" s="673"/>
    </row>
    <row r="39" spans="2:14" ht="33" customHeight="1">
      <c r="B39" s="366"/>
      <c r="C39" s="1446" t="s">
        <v>1154</v>
      </c>
      <c r="D39" s="1442" t="s">
        <v>1155</v>
      </c>
      <c r="E39" s="1442" t="s">
        <v>1156</v>
      </c>
      <c r="F39" s="674" t="s">
        <v>1072</v>
      </c>
      <c r="G39" s="674" t="s">
        <v>1072</v>
      </c>
      <c r="H39" s="674">
        <v>0</v>
      </c>
      <c r="I39" s="1447">
        <v>0</v>
      </c>
      <c r="J39" s="1447">
        <v>2</v>
      </c>
      <c r="K39" s="1447">
        <v>3</v>
      </c>
      <c r="L39" s="674" t="s">
        <v>1072</v>
      </c>
      <c r="M39" s="674" t="s">
        <v>1076</v>
      </c>
      <c r="N39" s="673"/>
    </row>
    <row r="40" spans="2:14" ht="57.9">
      <c r="B40" s="671"/>
      <c r="C40" s="1446" t="s">
        <v>1157</v>
      </c>
      <c r="D40" s="1442" t="s">
        <v>1158</v>
      </c>
      <c r="E40" s="1442" t="s">
        <v>1159</v>
      </c>
      <c r="F40" s="674" t="s">
        <v>1072</v>
      </c>
      <c r="G40" s="674" t="s">
        <v>1072</v>
      </c>
      <c r="H40" s="674">
        <v>1</v>
      </c>
      <c r="I40" s="1447">
        <v>0</v>
      </c>
      <c r="J40" s="1447">
        <v>0</v>
      </c>
      <c r="K40" s="1447">
        <v>1</v>
      </c>
      <c r="L40" s="674" t="s">
        <v>1072</v>
      </c>
      <c r="M40" s="674" t="s">
        <v>1078</v>
      </c>
      <c r="N40" s="673"/>
    </row>
    <row r="41" spans="2:14" ht="57.9">
      <c r="B41" s="366"/>
      <c r="C41" s="1446" t="s">
        <v>1160</v>
      </c>
      <c r="D41" s="1442" t="s">
        <v>1161</v>
      </c>
      <c r="E41" s="1442" t="s">
        <v>1162</v>
      </c>
      <c r="F41" s="674" t="s">
        <v>1072</v>
      </c>
      <c r="G41" s="674" t="s">
        <v>1072</v>
      </c>
      <c r="H41" s="674">
        <v>11</v>
      </c>
      <c r="I41" s="1447">
        <v>10</v>
      </c>
      <c r="J41" s="1447">
        <v>15</v>
      </c>
      <c r="K41" s="1447">
        <v>20</v>
      </c>
      <c r="L41" s="674" t="s">
        <v>1072</v>
      </c>
      <c r="M41" s="674" t="s">
        <v>1089</v>
      </c>
      <c r="N41" s="673"/>
    </row>
    <row r="42" spans="2:14" ht="37.5" customHeight="1">
      <c r="B42" s="366"/>
      <c r="C42" s="1446" t="s">
        <v>1163</v>
      </c>
      <c r="D42" s="1442" t="s">
        <v>1164</v>
      </c>
      <c r="E42" s="1442" t="s">
        <v>1165</v>
      </c>
      <c r="F42" s="674" t="s">
        <v>1072</v>
      </c>
      <c r="G42" s="674" t="s">
        <v>1072</v>
      </c>
      <c r="H42" s="674">
        <v>11</v>
      </c>
      <c r="I42" s="1447">
        <v>10</v>
      </c>
      <c r="J42" s="1447">
        <v>15</v>
      </c>
      <c r="K42" s="1447">
        <v>20</v>
      </c>
      <c r="L42" s="674" t="s">
        <v>1072</v>
      </c>
      <c r="M42" s="674" t="s">
        <v>1089</v>
      </c>
      <c r="N42" s="673"/>
    </row>
    <row r="43" spans="2:14" ht="33.75" customHeight="1">
      <c r="B43" s="366"/>
      <c r="C43" s="1446" t="s">
        <v>1166</v>
      </c>
      <c r="D43" s="1442" t="s">
        <v>1167</v>
      </c>
      <c r="E43" s="1442" t="s">
        <v>1168</v>
      </c>
      <c r="F43" s="674" t="s">
        <v>1072</v>
      </c>
      <c r="G43" s="674" t="s">
        <v>1072</v>
      </c>
      <c r="H43" s="674" t="s">
        <v>3606</v>
      </c>
      <c r="I43" s="1447">
        <v>3</v>
      </c>
      <c r="J43" s="1447">
        <v>4</v>
      </c>
      <c r="K43" s="1447">
        <v>5</v>
      </c>
      <c r="L43" s="674" t="s">
        <v>1072</v>
      </c>
      <c r="M43" s="674" t="s">
        <v>1122</v>
      </c>
      <c r="N43" s="673"/>
    </row>
    <row r="44" spans="2:14" ht="44.25" customHeight="1">
      <c r="B44" s="366"/>
      <c r="C44" s="1443" t="s">
        <v>1286</v>
      </c>
      <c r="D44" s="1444" t="s">
        <v>1169</v>
      </c>
      <c r="E44" s="1444" t="s">
        <v>1170</v>
      </c>
      <c r="F44" s="1445" t="s">
        <v>1171</v>
      </c>
      <c r="G44" s="1445" t="s">
        <v>1171</v>
      </c>
      <c r="H44" s="1445">
        <v>75.47</v>
      </c>
      <c r="I44" s="1448">
        <v>75.47</v>
      </c>
      <c r="J44" s="1448">
        <v>76</v>
      </c>
      <c r="K44" s="1448">
        <v>76</v>
      </c>
      <c r="L44" s="1445" t="s">
        <v>1171</v>
      </c>
      <c r="M44" s="1445" t="s">
        <v>1172</v>
      </c>
      <c r="N44" s="673"/>
    </row>
    <row r="45" spans="2:14" ht="27.75" customHeight="1">
      <c r="B45" s="366"/>
      <c r="C45" s="1446" t="s">
        <v>1173</v>
      </c>
      <c r="D45" s="1442" t="s">
        <v>1174</v>
      </c>
      <c r="E45" s="1442" t="s">
        <v>2809</v>
      </c>
      <c r="F45" s="674" t="s">
        <v>1175</v>
      </c>
      <c r="G45" s="674" t="s">
        <v>1175</v>
      </c>
      <c r="H45" s="674">
        <v>207.2</v>
      </c>
      <c r="I45" s="1447">
        <v>207.2</v>
      </c>
      <c r="J45" s="1447">
        <v>206</v>
      </c>
      <c r="K45" s="1447">
        <v>205</v>
      </c>
      <c r="L45" s="674" t="s">
        <v>1175</v>
      </c>
      <c r="M45" s="674" t="s">
        <v>1176</v>
      </c>
      <c r="N45" s="673"/>
    </row>
    <row r="46" spans="2:14" ht="34.75">
      <c r="B46" s="366"/>
      <c r="C46" s="1616" t="s">
        <v>1177</v>
      </c>
      <c r="D46" s="1617" t="s">
        <v>1178</v>
      </c>
      <c r="E46" s="1442" t="s">
        <v>1179</v>
      </c>
      <c r="F46" s="674" t="s">
        <v>1181</v>
      </c>
      <c r="G46" s="674" t="s">
        <v>1181</v>
      </c>
      <c r="H46" s="674">
        <v>50</v>
      </c>
      <c r="I46" s="1447">
        <v>50</v>
      </c>
      <c r="J46" s="1447">
        <v>55</v>
      </c>
      <c r="K46" s="1447">
        <v>60</v>
      </c>
      <c r="L46" s="674" t="s">
        <v>1181</v>
      </c>
      <c r="M46" s="674" t="s">
        <v>1287</v>
      </c>
      <c r="N46" s="673"/>
    </row>
    <row r="47" spans="2:14" ht="34.75">
      <c r="B47" s="671"/>
      <c r="C47" s="1616"/>
      <c r="D47" s="1617"/>
      <c r="E47" s="1442" t="s">
        <v>1180</v>
      </c>
      <c r="F47" s="674" t="s">
        <v>1182</v>
      </c>
      <c r="G47" s="674" t="s">
        <v>1182</v>
      </c>
      <c r="H47" s="674">
        <v>12</v>
      </c>
      <c r="I47" s="1447">
        <v>12</v>
      </c>
      <c r="J47" s="1447">
        <v>15</v>
      </c>
      <c r="K47" s="1447">
        <v>17</v>
      </c>
      <c r="L47" s="674" t="s">
        <v>1182</v>
      </c>
      <c r="M47" s="674" t="s">
        <v>1288</v>
      </c>
      <c r="N47" s="673"/>
    </row>
    <row r="48" spans="2:14" ht="65.25" customHeight="1">
      <c r="B48" s="366"/>
      <c r="C48" s="1443" t="s">
        <v>1289</v>
      </c>
      <c r="D48" s="1444" t="s">
        <v>1188</v>
      </c>
      <c r="E48" s="1444" t="s">
        <v>1184</v>
      </c>
      <c r="F48" s="1445" t="s">
        <v>1185</v>
      </c>
      <c r="G48" s="1445" t="s">
        <v>1185</v>
      </c>
      <c r="H48" s="1445">
        <v>8</v>
      </c>
      <c r="I48" s="1448">
        <v>8</v>
      </c>
      <c r="J48" s="1448">
        <v>9</v>
      </c>
      <c r="K48" s="1448">
        <v>9</v>
      </c>
      <c r="L48" s="1445" t="s">
        <v>1185</v>
      </c>
      <c r="M48" s="1445" t="s">
        <v>1186</v>
      </c>
      <c r="N48" s="673"/>
    </row>
    <row r="49" spans="2:14" ht="54" customHeight="1">
      <c r="B49" s="366"/>
      <c r="C49" s="1446" t="s">
        <v>1187</v>
      </c>
      <c r="D49" s="1442" t="s">
        <v>1188</v>
      </c>
      <c r="E49" s="1442" t="s">
        <v>2810</v>
      </c>
      <c r="F49" s="674" t="s">
        <v>3605</v>
      </c>
      <c r="G49" s="674" t="s">
        <v>1189</v>
      </c>
      <c r="H49" s="674">
        <v>25</v>
      </c>
      <c r="I49" s="1447">
        <v>25</v>
      </c>
      <c r="J49" s="1447">
        <v>26</v>
      </c>
      <c r="K49" s="1447">
        <v>27</v>
      </c>
      <c r="L49" s="674" t="s">
        <v>1189</v>
      </c>
      <c r="M49" s="674" t="s">
        <v>1190</v>
      </c>
      <c r="N49" s="673"/>
    </row>
    <row r="50" spans="2:14" ht="46.5" customHeight="1">
      <c r="B50" s="366"/>
      <c r="C50" s="1443" t="s">
        <v>1290</v>
      </c>
      <c r="D50" s="1444" t="s">
        <v>1191</v>
      </c>
      <c r="E50" s="1444" t="s">
        <v>1192</v>
      </c>
      <c r="F50" s="1445" t="s">
        <v>1193</v>
      </c>
      <c r="G50" s="1445" t="s">
        <v>1193</v>
      </c>
      <c r="H50" s="1445">
        <v>12</v>
      </c>
      <c r="I50" s="1448">
        <v>12</v>
      </c>
      <c r="J50" s="1448">
        <v>12.5</v>
      </c>
      <c r="K50" s="1448">
        <v>12.7</v>
      </c>
      <c r="L50" s="1445" t="s">
        <v>1193</v>
      </c>
      <c r="M50" s="1445" t="s">
        <v>1194</v>
      </c>
      <c r="N50" s="673"/>
    </row>
    <row r="51" spans="2:14" ht="37.5" customHeight="1">
      <c r="B51" s="366"/>
      <c r="C51" s="1446" t="s">
        <v>1195</v>
      </c>
      <c r="D51" s="1442" t="s">
        <v>1196</v>
      </c>
      <c r="E51" s="1442" t="s">
        <v>1197</v>
      </c>
      <c r="F51" s="674" t="s">
        <v>1072</v>
      </c>
      <c r="G51" s="674" t="s">
        <v>1072</v>
      </c>
      <c r="H51" s="674">
        <v>0</v>
      </c>
      <c r="I51" s="1447">
        <v>0</v>
      </c>
      <c r="J51" s="1447">
        <v>0</v>
      </c>
      <c r="K51" s="1447">
        <v>1</v>
      </c>
      <c r="L51" s="674" t="s">
        <v>1072</v>
      </c>
      <c r="M51" s="674" t="s">
        <v>1091</v>
      </c>
      <c r="N51" s="673"/>
    </row>
    <row r="52" spans="2:14" ht="45" customHeight="1">
      <c r="B52" s="366"/>
      <c r="C52" s="1446" t="s">
        <v>1198</v>
      </c>
      <c r="D52" s="1442" t="s">
        <v>1199</v>
      </c>
      <c r="E52" s="1442" t="s">
        <v>1200</v>
      </c>
      <c r="F52" s="674" t="s">
        <v>1201</v>
      </c>
      <c r="G52" s="674" t="s">
        <v>1201</v>
      </c>
      <c r="H52" s="674">
        <v>0</v>
      </c>
      <c r="I52" s="1447">
        <v>2</v>
      </c>
      <c r="J52" s="1447">
        <v>4</v>
      </c>
      <c r="K52" s="1447">
        <v>6</v>
      </c>
      <c r="L52" s="674" t="s">
        <v>1201</v>
      </c>
      <c r="M52" s="674" t="s">
        <v>1202</v>
      </c>
      <c r="N52" s="673"/>
    </row>
    <row r="53" spans="2:14" ht="91.5" customHeight="1">
      <c r="B53" s="366"/>
      <c r="C53" s="1443" t="s">
        <v>1317</v>
      </c>
      <c r="D53" s="1444" t="s">
        <v>1204</v>
      </c>
      <c r="E53" s="1444" t="s">
        <v>1168</v>
      </c>
      <c r="F53" s="1445" t="s">
        <v>1152</v>
      </c>
      <c r="G53" s="1445" t="s">
        <v>1152</v>
      </c>
      <c r="H53" s="1445" t="s">
        <v>3607</v>
      </c>
      <c r="I53" s="1448">
        <v>10</v>
      </c>
      <c r="J53" s="1448">
        <v>12</v>
      </c>
      <c r="K53" s="1448">
        <v>15</v>
      </c>
      <c r="L53" s="1445" t="s">
        <v>1152</v>
      </c>
      <c r="M53" s="1445" t="s">
        <v>1089</v>
      </c>
      <c r="N53" s="673"/>
    </row>
    <row r="54" spans="2:14" ht="35.25" customHeight="1">
      <c r="B54" s="366"/>
      <c r="C54" s="1446" t="s">
        <v>1205</v>
      </c>
      <c r="D54" s="1442" t="s">
        <v>1206</v>
      </c>
      <c r="E54" s="1442" t="s">
        <v>1207</v>
      </c>
      <c r="F54" s="674" t="s">
        <v>1203</v>
      </c>
      <c r="G54" s="674" t="s">
        <v>1203</v>
      </c>
      <c r="H54" s="674">
        <v>50</v>
      </c>
      <c r="I54" s="1447">
        <v>85</v>
      </c>
      <c r="J54" s="1447">
        <v>85</v>
      </c>
      <c r="K54" s="1447">
        <v>85</v>
      </c>
      <c r="L54" s="674" t="s">
        <v>1203</v>
      </c>
      <c r="M54" s="674" t="s">
        <v>1069</v>
      </c>
      <c r="N54" s="673"/>
    </row>
    <row r="55" spans="2:14" ht="46.3">
      <c r="B55" s="366"/>
      <c r="C55" s="1446" t="s">
        <v>1208</v>
      </c>
      <c r="D55" s="1442" t="s">
        <v>1209</v>
      </c>
      <c r="E55" s="1442" t="s">
        <v>1210</v>
      </c>
      <c r="F55" s="674" t="s">
        <v>1077</v>
      </c>
      <c r="G55" s="674" t="s">
        <v>1077</v>
      </c>
      <c r="H55" s="674">
        <v>0</v>
      </c>
      <c r="I55" s="1447">
        <v>0</v>
      </c>
      <c r="J55" s="1447">
        <v>0.1</v>
      </c>
      <c r="K55" s="1447">
        <v>0.3</v>
      </c>
      <c r="L55" s="674" t="s">
        <v>1077</v>
      </c>
      <c r="M55" s="674" t="s">
        <v>1078</v>
      </c>
      <c r="N55" s="673"/>
    </row>
    <row r="56" spans="2:14" ht="34.75">
      <c r="B56" s="366"/>
      <c r="C56" s="1446" t="s">
        <v>1211</v>
      </c>
      <c r="D56" s="1442" t="s">
        <v>1212</v>
      </c>
      <c r="E56" s="1442" t="s">
        <v>1291</v>
      </c>
      <c r="F56" s="674" t="s">
        <v>1072</v>
      </c>
      <c r="G56" s="674" t="s">
        <v>1072</v>
      </c>
      <c r="H56" s="674">
        <v>2</v>
      </c>
      <c r="I56" s="1447">
        <v>2</v>
      </c>
      <c r="J56" s="1447">
        <v>3</v>
      </c>
      <c r="K56" s="1447">
        <v>5</v>
      </c>
      <c r="L56" s="674" t="s">
        <v>1072</v>
      </c>
      <c r="M56" s="674" t="s">
        <v>1069</v>
      </c>
      <c r="N56" s="673"/>
    </row>
    <row r="57" spans="2:14" ht="52.5" customHeight="1">
      <c r="B57" s="366"/>
      <c r="C57" s="1443" t="s">
        <v>1292</v>
      </c>
      <c r="D57" s="1444" t="s">
        <v>1213</v>
      </c>
      <c r="E57" s="1444" t="s">
        <v>2811</v>
      </c>
      <c r="F57" s="1445" t="s">
        <v>1072</v>
      </c>
      <c r="G57" s="1445" t="s">
        <v>1072</v>
      </c>
      <c r="H57" s="1445"/>
      <c r="I57" s="1448">
        <v>60</v>
      </c>
      <c r="J57" s="1448">
        <v>70</v>
      </c>
      <c r="K57" s="1448">
        <v>75</v>
      </c>
      <c r="L57" s="1445" t="s">
        <v>1072</v>
      </c>
      <c r="M57" s="1445" t="s">
        <v>1214</v>
      </c>
      <c r="N57" s="673"/>
    </row>
    <row r="58" spans="2:14" ht="36" customHeight="1">
      <c r="B58" s="366"/>
      <c r="C58" s="1446" t="s">
        <v>1215</v>
      </c>
      <c r="D58" s="1442" t="s">
        <v>1216</v>
      </c>
      <c r="E58" s="1442" t="s">
        <v>1217</v>
      </c>
      <c r="F58" s="674" t="s">
        <v>1218</v>
      </c>
      <c r="G58" s="674" t="s">
        <v>1218</v>
      </c>
      <c r="H58" s="674">
        <v>1</v>
      </c>
      <c r="I58" s="1447">
        <v>30</v>
      </c>
      <c r="J58" s="1447">
        <v>40</v>
      </c>
      <c r="K58" s="1447">
        <v>50</v>
      </c>
      <c r="L58" s="674" t="s">
        <v>1218</v>
      </c>
      <c r="M58" s="674" t="s">
        <v>1219</v>
      </c>
      <c r="N58" s="673"/>
    </row>
    <row r="59" spans="2:14" ht="33.75" customHeight="1">
      <c r="B59" s="366"/>
      <c r="C59" s="1446" t="s">
        <v>1220</v>
      </c>
      <c r="D59" s="1442" t="s">
        <v>1221</v>
      </c>
      <c r="E59" s="1442" t="s">
        <v>1222</v>
      </c>
      <c r="F59" s="674" t="s">
        <v>1072</v>
      </c>
      <c r="G59" s="674" t="s">
        <v>1072</v>
      </c>
      <c r="H59" s="674">
        <v>0</v>
      </c>
      <c r="I59" s="1447">
        <v>0</v>
      </c>
      <c r="J59" s="1447">
        <v>0</v>
      </c>
      <c r="K59" s="1447">
        <v>0</v>
      </c>
      <c r="L59" s="674" t="s">
        <v>1072</v>
      </c>
      <c r="M59" s="674" t="s">
        <v>1223</v>
      </c>
      <c r="N59" s="673"/>
    </row>
    <row r="60" spans="2:14" ht="51" customHeight="1">
      <c r="B60" s="366"/>
      <c r="C60" s="1616" t="s">
        <v>1224</v>
      </c>
      <c r="D60" s="1617" t="s">
        <v>1225</v>
      </c>
      <c r="E60" s="1617" t="s">
        <v>1226</v>
      </c>
      <c r="F60" s="1612" t="s">
        <v>1227</v>
      </c>
      <c r="G60" s="1612" t="s">
        <v>1227</v>
      </c>
      <c r="H60" s="1612">
        <v>4156</v>
      </c>
      <c r="I60" s="1614">
        <v>3486</v>
      </c>
      <c r="J60" s="1614">
        <v>3486</v>
      </c>
      <c r="K60" s="1614">
        <v>3486</v>
      </c>
      <c r="L60" s="1612" t="s">
        <v>1227</v>
      </c>
      <c r="M60" s="1612" t="s">
        <v>2812</v>
      </c>
      <c r="N60" s="673"/>
    </row>
    <row r="61" spans="2:14">
      <c r="B61" s="671"/>
      <c r="C61" s="1616"/>
      <c r="D61" s="1617"/>
      <c r="E61" s="1617"/>
      <c r="F61" s="1612"/>
      <c r="G61" s="1612"/>
      <c r="H61" s="1612"/>
      <c r="I61" s="1614"/>
      <c r="J61" s="1614"/>
      <c r="K61" s="1614"/>
      <c r="L61" s="1612"/>
      <c r="M61" s="1612"/>
      <c r="N61" s="673"/>
    </row>
    <row r="62" spans="2:14" ht="37.5" customHeight="1">
      <c r="B62" s="671"/>
      <c r="C62" s="1616"/>
      <c r="D62" s="1617"/>
      <c r="E62" s="1617"/>
      <c r="F62" s="674" t="s">
        <v>2813</v>
      </c>
      <c r="G62" s="674" t="s">
        <v>2813</v>
      </c>
      <c r="H62" s="674">
        <v>469</v>
      </c>
      <c r="I62" s="1447">
        <v>469</v>
      </c>
      <c r="J62" s="1447">
        <v>500</v>
      </c>
      <c r="K62" s="1447">
        <v>500</v>
      </c>
      <c r="L62" s="674" t="s">
        <v>2813</v>
      </c>
      <c r="M62" s="674" t="s">
        <v>2814</v>
      </c>
      <c r="N62" s="673"/>
    </row>
    <row r="63" spans="2:14" ht="60" customHeight="1">
      <c r="B63" s="671"/>
      <c r="C63" s="1616"/>
      <c r="D63" s="1617"/>
      <c r="E63" s="1617"/>
      <c r="F63" s="1612" t="s">
        <v>1314</v>
      </c>
      <c r="G63" s="1612" t="s">
        <v>1314</v>
      </c>
      <c r="H63" s="1612" t="s">
        <v>3609</v>
      </c>
      <c r="I63" s="1614" t="s">
        <v>3608</v>
      </c>
      <c r="J63" s="1614" t="s">
        <v>3608</v>
      </c>
      <c r="K63" s="1614" t="s">
        <v>3608</v>
      </c>
      <c r="L63" s="1612" t="s">
        <v>1314</v>
      </c>
      <c r="M63" s="1612" t="s">
        <v>1315</v>
      </c>
      <c r="N63" s="673"/>
    </row>
    <row r="64" spans="2:14">
      <c r="B64" s="671"/>
      <c r="C64" s="1616"/>
      <c r="D64" s="1617"/>
      <c r="E64" s="1617"/>
      <c r="F64" s="1612"/>
      <c r="G64" s="1612"/>
      <c r="H64" s="1612"/>
      <c r="I64" s="1614"/>
      <c r="J64" s="1614"/>
      <c r="K64" s="1614"/>
      <c r="L64" s="1612"/>
      <c r="M64" s="1612"/>
      <c r="N64" s="673"/>
    </row>
    <row r="65" spans="2:14" ht="34.75">
      <c r="B65" s="671"/>
      <c r="C65" s="1443" t="s">
        <v>1293</v>
      </c>
      <c r="D65" s="1444" t="s">
        <v>2444</v>
      </c>
      <c r="E65" s="1444" t="s">
        <v>1294</v>
      </c>
      <c r="F65" s="1448" t="s">
        <v>1228</v>
      </c>
      <c r="G65" s="1448" t="s">
        <v>1228</v>
      </c>
      <c r="H65" s="1448"/>
      <c r="I65" s="1448">
        <v>135</v>
      </c>
      <c r="J65" s="1448">
        <v>130</v>
      </c>
      <c r="K65" s="1448">
        <v>125</v>
      </c>
      <c r="L65" s="1448" t="s">
        <v>1228</v>
      </c>
      <c r="M65" s="1445" t="s">
        <v>2815</v>
      </c>
      <c r="N65" s="673"/>
    </row>
    <row r="66" spans="2:14" ht="23.15">
      <c r="B66" s="366"/>
      <c r="C66" s="1446" t="s">
        <v>1229</v>
      </c>
      <c r="D66" s="1442" t="s">
        <v>2382</v>
      </c>
      <c r="E66" s="1442" t="s">
        <v>1295</v>
      </c>
      <c r="F66" s="674" t="s">
        <v>1230</v>
      </c>
      <c r="G66" s="674" t="s">
        <v>1230</v>
      </c>
      <c r="H66" s="1447" t="s">
        <v>2392</v>
      </c>
      <c r="I66" s="1447" t="s">
        <v>2392</v>
      </c>
      <c r="J66" s="1447">
        <v>8000</v>
      </c>
      <c r="K66" s="1447" t="s">
        <v>2392</v>
      </c>
      <c r="L66" s="674" t="s">
        <v>1230</v>
      </c>
      <c r="M66" s="674" t="s">
        <v>1231</v>
      </c>
      <c r="N66" s="673"/>
    </row>
    <row r="67" spans="2:14" ht="34.75">
      <c r="B67" s="366"/>
      <c r="C67" s="1446" t="s">
        <v>1232</v>
      </c>
      <c r="D67" s="1442" t="s">
        <v>1296</v>
      </c>
      <c r="E67" s="1446" t="s">
        <v>3603</v>
      </c>
      <c r="F67" s="674" t="s">
        <v>1233</v>
      </c>
      <c r="G67" s="674" t="s">
        <v>1233</v>
      </c>
      <c r="H67" s="674" t="s">
        <v>3604</v>
      </c>
      <c r="I67" s="1447">
        <v>2</v>
      </c>
      <c r="J67" s="1447">
        <v>2</v>
      </c>
      <c r="K67" s="1447">
        <v>1</v>
      </c>
      <c r="L67" s="674" t="s">
        <v>1233</v>
      </c>
      <c r="M67" s="674" t="s">
        <v>1183</v>
      </c>
      <c r="N67" s="673"/>
    </row>
    <row r="68" spans="2:14" ht="49.5" customHeight="1">
      <c r="B68" s="671"/>
      <c r="C68" s="1446" t="s">
        <v>1234</v>
      </c>
      <c r="D68" s="1442" t="s">
        <v>1235</v>
      </c>
      <c r="E68" s="1442" t="s">
        <v>1297</v>
      </c>
      <c r="F68" s="674" t="s">
        <v>1072</v>
      </c>
      <c r="G68" s="674" t="s">
        <v>1072</v>
      </c>
      <c r="H68" s="674">
        <v>0</v>
      </c>
      <c r="I68" s="1447">
        <v>0.27</v>
      </c>
      <c r="J68" s="1447">
        <v>0.3</v>
      </c>
      <c r="K68" s="1447">
        <v>0</v>
      </c>
      <c r="L68" s="674" t="s">
        <v>1072</v>
      </c>
      <c r="M68" s="674" t="s">
        <v>1236</v>
      </c>
      <c r="N68" s="673"/>
    </row>
    <row r="69" spans="2:14" ht="61.5" customHeight="1">
      <c r="B69" s="671"/>
      <c r="C69" s="1443" t="s">
        <v>1298</v>
      </c>
      <c r="D69" s="1444" t="s">
        <v>1237</v>
      </c>
      <c r="E69" s="1444" t="s">
        <v>1238</v>
      </c>
      <c r="F69" s="1445" t="s">
        <v>1239</v>
      </c>
      <c r="G69" s="1445" t="s">
        <v>1239</v>
      </c>
      <c r="H69" s="1445">
        <v>19652</v>
      </c>
      <c r="I69" s="1448">
        <v>19691</v>
      </c>
      <c r="J69" s="1448">
        <v>19887</v>
      </c>
      <c r="K69" s="1448">
        <v>20000</v>
      </c>
      <c r="L69" s="1445" t="s">
        <v>1239</v>
      </c>
      <c r="M69" s="1445" t="s">
        <v>1240</v>
      </c>
      <c r="N69" s="673"/>
    </row>
    <row r="70" spans="2:14" ht="23.15">
      <c r="B70" s="671"/>
      <c r="C70" s="1446" t="s">
        <v>1241</v>
      </c>
      <c r="D70" s="1442" t="s">
        <v>1242</v>
      </c>
      <c r="E70" s="1442" t="s">
        <v>1243</v>
      </c>
      <c r="F70" s="674" t="s">
        <v>1072</v>
      </c>
      <c r="G70" s="674" t="s">
        <v>1072</v>
      </c>
      <c r="H70" s="674">
        <v>0</v>
      </c>
      <c r="I70" s="1447">
        <v>0</v>
      </c>
      <c r="J70" s="1447">
        <v>1</v>
      </c>
      <c r="K70" s="1447">
        <v>1</v>
      </c>
      <c r="L70" s="674" t="s">
        <v>1072</v>
      </c>
      <c r="M70" s="674" t="s">
        <v>1082</v>
      </c>
      <c r="N70" s="673"/>
    </row>
    <row r="71" spans="2:14" ht="23.15">
      <c r="B71" s="671"/>
      <c r="C71" s="1446" t="s">
        <v>1244</v>
      </c>
      <c r="D71" s="1442" t="s">
        <v>1245</v>
      </c>
      <c r="E71" s="1442" t="s">
        <v>1246</v>
      </c>
      <c r="F71" s="674" t="s">
        <v>1247</v>
      </c>
      <c r="G71" s="674" t="s">
        <v>1247</v>
      </c>
      <c r="H71" s="674">
        <v>0</v>
      </c>
      <c r="I71" s="1447">
        <v>0</v>
      </c>
      <c r="J71" s="1447">
        <v>0</v>
      </c>
      <c r="K71" s="1447">
        <v>1</v>
      </c>
      <c r="L71" s="674" t="s">
        <v>1247</v>
      </c>
      <c r="M71" s="674" t="s">
        <v>1078</v>
      </c>
      <c r="N71" s="673"/>
    </row>
    <row r="72" spans="2:14" ht="31.5" customHeight="1">
      <c r="B72" s="366"/>
      <c r="C72" s="1446" t="s">
        <v>1248</v>
      </c>
      <c r="D72" s="1442" t="s">
        <v>1249</v>
      </c>
      <c r="E72" s="1442" t="s">
        <v>1250</v>
      </c>
      <c r="F72" s="674" t="s">
        <v>1072</v>
      </c>
      <c r="G72" s="674" t="s">
        <v>1072</v>
      </c>
      <c r="H72" s="674">
        <v>0</v>
      </c>
      <c r="I72" s="1447">
        <v>0</v>
      </c>
      <c r="J72" s="1447">
        <v>0</v>
      </c>
      <c r="K72" s="1447">
        <v>0</v>
      </c>
      <c r="L72" s="674" t="s">
        <v>1072</v>
      </c>
      <c r="M72" s="674" t="s">
        <v>1091</v>
      </c>
      <c r="N72" s="673"/>
    </row>
    <row r="73" spans="2:14" ht="43.5" customHeight="1">
      <c r="B73" s="671"/>
      <c r="C73" s="1443" t="s">
        <v>1299</v>
      </c>
      <c r="D73" s="1444" t="s">
        <v>1251</v>
      </c>
      <c r="E73" s="1444" t="s">
        <v>1252</v>
      </c>
      <c r="F73" s="1445" t="s">
        <v>1253</v>
      </c>
      <c r="G73" s="1445" t="s">
        <v>1253</v>
      </c>
      <c r="H73" s="1448">
        <v>560</v>
      </c>
      <c r="I73" s="1448">
        <v>560</v>
      </c>
      <c r="J73" s="1448">
        <v>520</v>
      </c>
      <c r="K73" s="1448">
        <v>510</v>
      </c>
      <c r="L73" s="1445" t="s">
        <v>1253</v>
      </c>
      <c r="M73" s="1445" t="s">
        <v>1254</v>
      </c>
      <c r="N73" s="673"/>
    </row>
    <row r="74" spans="2:14" ht="41.25" customHeight="1">
      <c r="B74" s="671"/>
      <c r="C74" s="1446" t="s">
        <v>1255</v>
      </c>
      <c r="D74" s="1442" t="s">
        <v>1256</v>
      </c>
      <c r="E74" s="1442" t="s">
        <v>2418</v>
      </c>
      <c r="F74" s="674" t="s">
        <v>1257</v>
      </c>
      <c r="G74" s="674" t="s">
        <v>1257</v>
      </c>
      <c r="H74" s="674">
        <v>21</v>
      </c>
      <c r="I74" s="1447">
        <v>21</v>
      </c>
      <c r="J74" s="1447">
        <v>21</v>
      </c>
      <c r="K74" s="1447">
        <v>21</v>
      </c>
      <c r="L74" s="674" t="s">
        <v>1257</v>
      </c>
      <c r="M74" s="674" t="s">
        <v>1258</v>
      </c>
      <c r="N74" s="673"/>
    </row>
    <row r="75" spans="2:14" ht="38.25" customHeight="1">
      <c r="B75" s="671"/>
      <c r="C75" s="1616" t="s">
        <v>1259</v>
      </c>
      <c r="D75" s="1617" t="s">
        <v>1260</v>
      </c>
      <c r="E75" s="1442" t="s">
        <v>1261</v>
      </c>
      <c r="F75" s="674" t="s">
        <v>3356</v>
      </c>
      <c r="G75" s="674" t="s">
        <v>1262</v>
      </c>
      <c r="H75" s="674">
        <v>82.9</v>
      </c>
      <c r="I75" s="1447">
        <v>80</v>
      </c>
      <c r="J75" s="1447">
        <v>80</v>
      </c>
      <c r="K75" s="1447">
        <v>84</v>
      </c>
      <c r="L75" s="674" t="s">
        <v>1262</v>
      </c>
      <c r="M75" s="674" t="s">
        <v>1117</v>
      </c>
      <c r="N75" s="673"/>
    </row>
    <row r="76" spans="2:14" ht="34.75">
      <c r="B76" s="671"/>
      <c r="C76" s="1616"/>
      <c r="D76" s="1617"/>
      <c r="E76" s="1442" t="s">
        <v>1263</v>
      </c>
      <c r="F76" s="674" t="s">
        <v>1072</v>
      </c>
      <c r="G76" s="674" t="s">
        <v>1072</v>
      </c>
      <c r="H76" s="674">
        <v>1</v>
      </c>
      <c r="I76" s="1447">
        <v>2</v>
      </c>
      <c r="J76" s="1447">
        <v>3</v>
      </c>
      <c r="K76" s="1447">
        <v>4</v>
      </c>
      <c r="L76" s="674" t="s">
        <v>1072</v>
      </c>
      <c r="M76" s="674" t="s">
        <v>1090</v>
      </c>
      <c r="N76" s="673"/>
    </row>
    <row r="77" spans="2:14" ht="37.5" customHeight="1">
      <c r="B77" s="671"/>
      <c r="C77" s="1616"/>
      <c r="D77" s="1617"/>
      <c r="E77" s="1442" t="s">
        <v>1264</v>
      </c>
      <c r="F77" s="674" t="s">
        <v>1081</v>
      </c>
      <c r="G77" s="674" t="s">
        <v>1081</v>
      </c>
      <c r="H77" s="674">
        <v>1.6</v>
      </c>
      <c r="I77" s="1447">
        <v>2</v>
      </c>
      <c r="J77" s="1447">
        <v>3</v>
      </c>
      <c r="K77" s="1447">
        <v>4</v>
      </c>
      <c r="L77" s="674" t="s">
        <v>1081</v>
      </c>
      <c r="M77" s="674" t="s">
        <v>1123</v>
      </c>
      <c r="N77" s="673"/>
    </row>
    <row r="78" spans="2:14" ht="51" customHeight="1">
      <c r="B78" s="671"/>
      <c r="C78" s="1616" t="s">
        <v>1265</v>
      </c>
      <c r="D78" s="1617" t="s">
        <v>1266</v>
      </c>
      <c r="E78" s="1442" t="s">
        <v>1300</v>
      </c>
      <c r="F78" s="674" t="s">
        <v>1267</v>
      </c>
      <c r="G78" s="674" t="s">
        <v>1267</v>
      </c>
      <c r="H78" s="674">
        <v>0.74099999999999999</v>
      </c>
      <c r="I78" s="1447">
        <v>0.80700000000000005</v>
      </c>
      <c r="J78" s="1447">
        <v>0.246</v>
      </c>
      <c r="K78" s="1447">
        <v>1.8759999999999999</v>
      </c>
      <c r="L78" s="674" t="s">
        <v>1267</v>
      </c>
      <c r="M78" s="674" t="s">
        <v>1268</v>
      </c>
      <c r="N78" s="673"/>
    </row>
    <row r="79" spans="2:14" ht="23.15">
      <c r="B79" s="671"/>
      <c r="C79" s="1616"/>
      <c r="D79" s="1617"/>
      <c r="E79" s="1442" t="s">
        <v>1269</v>
      </c>
      <c r="F79" s="674" t="s">
        <v>1270</v>
      </c>
      <c r="G79" s="674" t="s">
        <v>1270</v>
      </c>
      <c r="H79" s="674">
        <v>1.581</v>
      </c>
      <c r="I79" s="1447">
        <v>1.2949999999999999</v>
      </c>
      <c r="J79" s="1447">
        <v>2.512</v>
      </c>
      <c r="K79" s="1447">
        <v>2</v>
      </c>
      <c r="L79" s="674" t="s">
        <v>1270</v>
      </c>
      <c r="M79" s="674" t="s">
        <v>1271</v>
      </c>
      <c r="N79" s="673"/>
    </row>
    <row r="80" spans="2:14" ht="23.15">
      <c r="B80" s="671"/>
      <c r="C80" s="1616"/>
      <c r="D80" s="1617"/>
      <c r="E80" s="1442" t="s">
        <v>1272</v>
      </c>
      <c r="F80" s="674" t="s">
        <v>1072</v>
      </c>
      <c r="G80" s="674" t="s">
        <v>1072</v>
      </c>
      <c r="H80" s="674">
        <v>0</v>
      </c>
      <c r="I80" s="1447">
        <v>1</v>
      </c>
      <c r="J80" s="1447">
        <v>0</v>
      </c>
      <c r="K80" s="1447">
        <v>0</v>
      </c>
      <c r="L80" s="674" t="s">
        <v>1072</v>
      </c>
      <c r="M80" s="674" t="s">
        <v>1273</v>
      </c>
      <c r="N80" s="673"/>
    </row>
    <row r="81" spans="2:24" ht="107.5" customHeight="1">
      <c r="B81" s="671"/>
      <c r="C81" s="1614" t="s">
        <v>1275</v>
      </c>
      <c r="D81" s="1617" t="s">
        <v>1301</v>
      </c>
      <c r="E81" s="1442" t="s">
        <v>1276</v>
      </c>
      <c r="F81" s="674" t="s">
        <v>1277</v>
      </c>
      <c r="G81" s="674" t="s">
        <v>1277</v>
      </c>
      <c r="H81" s="674">
        <v>8.6999999999999993</v>
      </c>
      <c r="I81" s="674" t="s">
        <v>2439</v>
      </c>
      <c r="J81" s="674" t="s">
        <v>2440</v>
      </c>
      <c r="K81" s="674" t="s">
        <v>2441</v>
      </c>
      <c r="L81" s="674" t="s">
        <v>1277</v>
      </c>
      <c r="M81" s="674" t="s">
        <v>1116</v>
      </c>
      <c r="N81" s="673"/>
    </row>
    <row r="82" spans="2:24" ht="102.65" customHeight="1">
      <c r="B82" s="671"/>
      <c r="C82" s="1614"/>
      <c r="D82" s="1617"/>
      <c r="E82" s="1442" t="s">
        <v>1278</v>
      </c>
      <c r="F82" s="674" t="s">
        <v>1279</v>
      </c>
      <c r="G82" s="674" t="s">
        <v>1279</v>
      </c>
      <c r="H82" s="674">
        <v>63.05</v>
      </c>
      <c r="I82" s="674" t="s">
        <v>2816</v>
      </c>
      <c r="J82" s="674" t="s">
        <v>2817</v>
      </c>
      <c r="K82" s="674" t="s">
        <v>2818</v>
      </c>
      <c r="L82" s="674" t="s">
        <v>1279</v>
      </c>
      <c r="M82" s="674" t="s">
        <v>1280</v>
      </c>
      <c r="N82" s="673"/>
    </row>
    <row r="83" spans="2:24" ht="42.75" customHeight="1">
      <c r="B83" s="671"/>
      <c r="C83" s="1446" t="s">
        <v>1281</v>
      </c>
      <c r="D83" s="1442" t="s">
        <v>1302</v>
      </c>
      <c r="E83" s="1442" t="s">
        <v>1282</v>
      </c>
      <c r="F83" s="674" t="s">
        <v>1201</v>
      </c>
      <c r="G83" s="674" t="s">
        <v>1201</v>
      </c>
      <c r="H83" s="674">
        <v>18</v>
      </c>
      <c r="I83" s="1447">
        <v>0</v>
      </c>
      <c r="J83" s="1447">
        <v>0</v>
      </c>
      <c r="K83" s="1447">
        <v>1</v>
      </c>
      <c r="L83" s="674" t="s">
        <v>1201</v>
      </c>
      <c r="M83" s="674" t="s">
        <v>1274</v>
      </c>
      <c r="N83" s="673"/>
      <c r="X83" s="675"/>
    </row>
    <row r="84" spans="2:24">
      <c r="B84" s="671"/>
      <c r="N84" s="673"/>
    </row>
    <row r="85" spans="2:24">
      <c r="B85" s="671"/>
      <c r="N85" s="673"/>
    </row>
    <row r="86" spans="2:24">
      <c r="B86" s="671"/>
      <c r="N86" s="673"/>
    </row>
    <row r="87" spans="2:24">
      <c r="B87" s="671"/>
      <c r="N87" s="673"/>
    </row>
    <row r="88" spans="2:24" ht="12" thickBot="1">
      <c r="B88" s="676"/>
      <c r="C88" s="677"/>
      <c r="D88" s="677"/>
      <c r="E88" s="677"/>
      <c r="F88" s="678"/>
      <c r="G88" s="678"/>
      <c r="H88" s="678"/>
      <c r="I88" s="678"/>
      <c r="J88" s="678"/>
      <c r="K88" s="678"/>
      <c r="L88" s="678"/>
      <c r="M88" s="678"/>
      <c r="N88" s="679"/>
    </row>
  </sheetData>
  <mergeCells count="44">
    <mergeCell ref="L63:L64"/>
    <mergeCell ref="M63:M64"/>
    <mergeCell ref="M60:M61"/>
    <mergeCell ref="E60:E64"/>
    <mergeCell ref="C15:C17"/>
    <mergeCell ref="D15:D17"/>
    <mergeCell ref="C24:C25"/>
    <mergeCell ref="D24:D25"/>
    <mergeCell ref="C60:C64"/>
    <mergeCell ref="D60:D64"/>
    <mergeCell ref="H60:H61"/>
    <mergeCell ref="H63:H64"/>
    <mergeCell ref="C81:C82"/>
    <mergeCell ref="D81:D82"/>
    <mergeCell ref="D12:D13"/>
    <mergeCell ref="F8:F9"/>
    <mergeCell ref="I8:K8"/>
    <mergeCell ref="C78:C80"/>
    <mergeCell ref="D78:D80"/>
    <mergeCell ref="C75:C77"/>
    <mergeCell ref="D75:D77"/>
    <mergeCell ref="D8:D9"/>
    <mergeCell ref="E8:E9"/>
    <mergeCell ref="C46:C47"/>
    <mergeCell ref="D46:D47"/>
    <mergeCell ref="I60:I61"/>
    <mergeCell ref="J60:J61"/>
    <mergeCell ref="K60:K61"/>
    <mergeCell ref="B2:N5"/>
    <mergeCell ref="H8:H9"/>
    <mergeCell ref="G8:G9"/>
    <mergeCell ref="G60:G61"/>
    <mergeCell ref="G63:G64"/>
    <mergeCell ref="C7:D7"/>
    <mergeCell ref="F63:F64"/>
    <mergeCell ref="I63:I64"/>
    <mergeCell ref="J63:J64"/>
    <mergeCell ref="K63:K64"/>
    <mergeCell ref="C8:C9"/>
    <mergeCell ref="L8:L9"/>
    <mergeCell ref="M8:M9"/>
    <mergeCell ref="L60:L61"/>
    <mergeCell ref="F60:F61"/>
    <mergeCell ref="C12:C13"/>
  </mergeCells>
  <pageMargins left="0.70866141732283472" right="0.70866141732283472" top="0.74803149606299213" bottom="0.74803149606299213" header="0.31496062992125984" footer="0.31496062992125984"/>
  <pageSetup paperSize="8" scale="85"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C600F-3CA1-484D-8676-44DBA94AE2DD}">
  <sheetPr codeName="Lapas4"/>
  <dimension ref="B1:U24"/>
  <sheetViews>
    <sheetView workbookViewId="0">
      <pane xSplit="11" ySplit="5" topLeftCell="L12" activePane="bottomRight" state="frozen"/>
      <selection pane="topRight" activeCell="L1" sqref="L1"/>
      <selection pane="bottomLeft" activeCell="A7" sqref="A7"/>
      <selection pane="bottomRight" activeCell="B20" sqref="B20:K23"/>
    </sheetView>
  </sheetViews>
  <sheetFormatPr defaultRowHeight="12.45"/>
  <cols>
    <col min="1" max="1" width="6" customWidth="1"/>
    <col min="7" max="7" width="7.3046875" customWidth="1"/>
    <col min="8" max="8" width="7" customWidth="1"/>
    <col min="11" max="11" width="14.3828125" customWidth="1"/>
  </cols>
  <sheetData>
    <row r="1" spans="2:11" ht="12.9" thickBot="1"/>
    <row r="2" spans="2:11" ht="67.2" customHeight="1">
      <c r="B2" s="362"/>
      <c r="C2" s="363"/>
      <c r="D2" s="363"/>
      <c r="E2" s="363"/>
      <c r="F2" s="363"/>
      <c r="G2" s="363"/>
      <c r="H2" s="363"/>
      <c r="I2" s="1562"/>
      <c r="J2" s="1562"/>
      <c r="K2" s="1563"/>
    </row>
    <row r="3" spans="2:11">
      <c r="B3" s="364"/>
      <c r="K3" s="365"/>
    </row>
    <row r="4" spans="2:11" ht="12.9" thickBot="1">
      <c r="B4" s="364"/>
      <c r="K4" s="365"/>
    </row>
    <row r="5" spans="2:11" ht="49.5" customHeight="1" thickBot="1">
      <c r="B5" s="1621" t="s">
        <v>3530</v>
      </c>
      <c r="C5" s="1622"/>
      <c r="D5" s="1622"/>
      <c r="E5" s="1622"/>
      <c r="F5" s="1622"/>
      <c r="G5" s="1622"/>
      <c r="H5" s="1622"/>
      <c r="I5" s="1622"/>
      <c r="J5" s="1622"/>
      <c r="K5" s="1623"/>
    </row>
    <row r="6" spans="2:11">
      <c r="B6" s="684"/>
      <c r="C6" s="686"/>
      <c r="D6" s="686"/>
      <c r="E6" s="686"/>
      <c r="F6" s="686"/>
      <c r="G6" s="686"/>
      <c r="H6" s="686"/>
      <c r="I6" s="686"/>
      <c r="J6" s="686"/>
      <c r="K6" s="685"/>
    </row>
    <row r="7" spans="2:11" ht="13.2" customHeight="1" thickBot="1">
      <c r="B7" s="684"/>
      <c r="C7" s="686"/>
      <c r="D7" s="686"/>
      <c r="E7" s="686"/>
      <c r="F7" s="686"/>
      <c r="G7" s="686"/>
      <c r="H7" s="686"/>
      <c r="I7" s="686"/>
      <c r="J7" s="686"/>
      <c r="K7" s="685"/>
    </row>
    <row r="8" spans="2:11" ht="40.950000000000003" customHeight="1" thickBot="1">
      <c r="B8" s="1624" t="s">
        <v>3528</v>
      </c>
      <c r="C8" s="1625"/>
      <c r="D8" s="1625"/>
      <c r="E8" s="1625"/>
      <c r="F8" s="1625"/>
      <c r="G8" s="1625"/>
      <c r="H8" s="1625"/>
      <c r="I8" s="1625"/>
      <c r="J8" s="1625"/>
      <c r="K8" s="1626"/>
    </row>
    <row r="9" spans="2:11" ht="13.5" customHeight="1">
      <c r="B9" s="391"/>
      <c r="C9" s="660"/>
      <c r="D9" s="660"/>
      <c r="E9" s="660"/>
      <c r="F9" s="660"/>
      <c r="G9" s="660"/>
      <c r="H9" s="660"/>
      <c r="I9" s="660"/>
      <c r="J9" s="660"/>
      <c r="K9" s="687"/>
    </row>
    <row r="10" spans="2:11" ht="16.95" customHeight="1">
      <c r="B10" s="1627" t="s">
        <v>2741</v>
      </c>
      <c r="C10" s="1628"/>
      <c r="D10" s="1628"/>
      <c r="E10" s="1628"/>
      <c r="F10" s="1628"/>
      <c r="G10" s="1628"/>
      <c r="H10" s="1628"/>
      <c r="I10" s="1628"/>
      <c r="J10" s="1628"/>
      <c r="K10" s="1629"/>
    </row>
    <row r="11" spans="2:11" ht="13.2" customHeight="1">
      <c r="B11" s="391"/>
      <c r="C11" s="660"/>
      <c r="D11" s="660"/>
      <c r="E11" s="660"/>
      <c r="F11" s="660"/>
      <c r="G11" s="660"/>
      <c r="H11" s="660"/>
      <c r="I11" s="660"/>
      <c r="J11" s="660"/>
      <c r="K11" s="687"/>
    </row>
    <row r="12" spans="2:11" ht="13.2" customHeight="1">
      <c r="B12" s="1618" t="s">
        <v>1052</v>
      </c>
      <c r="C12" s="1619"/>
      <c r="D12" s="1619"/>
      <c r="E12" s="1619"/>
      <c r="F12" s="1619"/>
      <c r="G12" s="1619"/>
      <c r="H12" s="1619"/>
      <c r="I12" s="1619"/>
      <c r="J12" s="1619"/>
      <c r="K12" s="1620"/>
    </row>
    <row r="13" spans="2:11">
      <c r="B13" s="1618"/>
      <c r="C13" s="1619"/>
      <c r="D13" s="1619"/>
      <c r="E13" s="1619"/>
      <c r="F13" s="1619"/>
      <c r="G13" s="1619"/>
      <c r="H13" s="1619"/>
      <c r="I13" s="1619"/>
      <c r="J13" s="1619"/>
      <c r="K13" s="1620"/>
    </row>
    <row r="14" spans="2:11">
      <c r="B14" s="1618"/>
      <c r="C14" s="1619"/>
      <c r="D14" s="1619"/>
      <c r="E14" s="1619"/>
      <c r="F14" s="1619"/>
      <c r="G14" s="1619"/>
      <c r="H14" s="1619"/>
      <c r="I14" s="1619"/>
      <c r="J14" s="1619"/>
      <c r="K14" s="1620"/>
    </row>
    <row r="15" spans="2:11">
      <c r="B15" s="1618"/>
      <c r="C15" s="1619"/>
      <c r="D15" s="1619"/>
      <c r="E15" s="1619"/>
      <c r="F15" s="1619"/>
      <c r="G15" s="1619"/>
      <c r="H15" s="1619"/>
      <c r="I15" s="1619"/>
      <c r="J15" s="1619"/>
      <c r="K15" s="1620"/>
    </row>
    <row r="16" spans="2:11" ht="9" customHeight="1">
      <c r="B16" s="1618"/>
      <c r="C16" s="1619"/>
      <c r="D16" s="1619"/>
      <c r="E16" s="1619"/>
      <c r="F16" s="1619"/>
      <c r="G16" s="1619"/>
      <c r="H16" s="1619"/>
      <c r="I16" s="1619"/>
      <c r="J16" s="1619"/>
      <c r="K16" s="1620"/>
    </row>
    <row r="17" spans="2:21">
      <c r="B17" s="391"/>
      <c r="C17" s="660"/>
      <c r="D17" s="660"/>
      <c r="E17" s="660"/>
      <c r="F17" s="660"/>
      <c r="G17" s="660"/>
      <c r="H17" s="660"/>
      <c r="I17" s="660"/>
      <c r="J17" s="660"/>
      <c r="K17" s="687"/>
    </row>
    <row r="18" spans="2:21">
      <c r="B18" s="1564" t="s">
        <v>2742</v>
      </c>
      <c r="C18" s="1565"/>
      <c r="D18" s="1565"/>
      <c r="E18" s="1565"/>
      <c r="F18" s="1565"/>
      <c r="G18" s="1565"/>
      <c r="H18" s="1565"/>
      <c r="I18" s="1565"/>
      <c r="J18" s="1565"/>
      <c r="K18" s="1566"/>
      <c r="U18" t="s">
        <v>2819</v>
      </c>
    </row>
    <row r="19" spans="2:21">
      <c r="B19" s="391"/>
      <c r="C19" s="660"/>
      <c r="D19" s="660"/>
      <c r="E19" s="660"/>
      <c r="F19" s="660"/>
      <c r="G19" s="660"/>
      <c r="H19" s="660"/>
      <c r="I19" s="660"/>
      <c r="J19" s="660"/>
      <c r="K19" s="687"/>
    </row>
    <row r="20" spans="2:21" ht="13.2" customHeight="1">
      <c r="B20" s="1618" t="s">
        <v>3746</v>
      </c>
      <c r="C20" s="1619"/>
      <c r="D20" s="1619"/>
      <c r="E20" s="1619"/>
      <c r="F20" s="1619"/>
      <c r="G20" s="1619"/>
      <c r="H20" s="1619"/>
      <c r="I20" s="1619"/>
      <c r="J20" s="1619"/>
      <c r="K20" s="1620"/>
    </row>
    <row r="21" spans="2:21" ht="13.2" customHeight="1">
      <c r="B21" s="1618"/>
      <c r="C21" s="1619"/>
      <c r="D21" s="1619"/>
      <c r="E21" s="1619"/>
      <c r="F21" s="1619"/>
      <c r="G21" s="1619"/>
      <c r="H21" s="1619"/>
      <c r="I21" s="1619"/>
      <c r="J21" s="1619"/>
      <c r="K21" s="1620"/>
    </row>
    <row r="22" spans="2:21">
      <c r="B22" s="1618"/>
      <c r="C22" s="1619"/>
      <c r="D22" s="1619"/>
      <c r="E22" s="1619"/>
      <c r="F22" s="1619"/>
      <c r="G22" s="1619"/>
      <c r="H22" s="1619"/>
      <c r="I22" s="1619"/>
      <c r="J22" s="1619"/>
      <c r="K22" s="1620"/>
    </row>
    <row r="23" spans="2:21">
      <c r="B23" s="1618"/>
      <c r="C23" s="1619"/>
      <c r="D23" s="1619"/>
      <c r="E23" s="1619"/>
      <c r="F23" s="1619"/>
      <c r="G23" s="1619"/>
      <c r="H23" s="1619"/>
      <c r="I23" s="1619"/>
      <c r="J23" s="1619"/>
      <c r="K23" s="1620"/>
    </row>
    <row r="24" spans="2:21" ht="117.75" customHeight="1" thickBot="1">
      <c r="B24" s="412"/>
      <c r="C24" s="413"/>
      <c r="D24" s="413"/>
      <c r="E24" s="413"/>
      <c r="F24" s="413"/>
      <c r="G24" s="413"/>
      <c r="H24" s="413"/>
      <c r="I24" s="413"/>
      <c r="J24" s="413"/>
      <c r="K24" s="414"/>
    </row>
  </sheetData>
  <mergeCells count="7">
    <mergeCell ref="B12:K16"/>
    <mergeCell ref="B18:K18"/>
    <mergeCell ref="B20:K23"/>
    <mergeCell ref="I2:K2"/>
    <mergeCell ref="B5:K5"/>
    <mergeCell ref="B8:K8"/>
    <mergeCell ref="B10:K10"/>
  </mergeCells>
  <pageMargins left="0.7" right="0.7" top="0.75" bottom="0.75" header="0.3" footer="0.3"/>
  <pageSetup paperSize="9" scale="9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E01DC-FC68-49B7-B2D7-D2255C50C2B6}">
  <sheetPr codeName="Lapas7">
    <pageSetUpPr fitToPage="1"/>
  </sheetPr>
  <dimension ref="B2:AF69"/>
  <sheetViews>
    <sheetView topLeftCell="A22" zoomScale="130" zoomScaleNormal="130" workbookViewId="0">
      <selection activeCell="D19" sqref="D19"/>
    </sheetView>
  </sheetViews>
  <sheetFormatPr defaultColWidth="9.15234375" defaultRowHeight="12.45"/>
  <cols>
    <col min="1" max="2" width="9.15234375" style="368"/>
    <col min="3" max="3" width="8.3046875" style="368" customWidth="1"/>
    <col min="4" max="4" width="30.69140625" style="368" customWidth="1"/>
    <col min="5" max="5" width="15.3828125" style="368" customWidth="1"/>
    <col min="6" max="7" width="15.3046875" style="368" customWidth="1"/>
    <col min="8" max="8" width="14.84375" style="368" customWidth="1"/>
    <col min="9" max="10" width="15.69140625" style="368" hidden="1" customWidth="1"/>
    <col min="11" max="11" width="6" style="368" hidden="1" customWidth="1"/>
    <col min="12" max="12" width="6" style="368" customWidth="1"/>
    <col min="13" max="14" width="10.69140625" style="423" hidden="1" customWidth="1"/>
    <col min="15" max="16" width="11.53515625" style="368" customWidth="1"/>
    <col min="17" max="17" width="39.3046875" style="368" hidden="1" customWidth="1"/>
    <col min="18" max="18" width="10.69140625" style="368" hidden="1" customWidth="1"/>
    <col min="19" max="30" width="9.15234375" style="368" hidden="1" customWidth="1"/>
    <col min="31" max="31" width="14" style="368" customWidth="1"/>
    <col min="32" max="32" width="9.53515625" style="368" customWidth="1"/>
    <col min="33" max="33" width="9.15234375" style="368" customWidth="1"/>
    <col min="34" max="16384" width="9.15234375" style="368"/>
  </cols>
  <sheetData>
    <row r="2" spans="2:27" ht="20.25" customHeight="1">
      <c r="C2" s="1633" t="s">
        <v>3601</v>
      </c>
      <c r="D2" s="1633"/>
      <c r="E2" s="1633"/>
      <c r="F2" s="1633"/>
      <c r="G2" s="1633"/>
      <c r="H2" s="1633"/>
      <c r="I2" s="1633"/>
      <c r="J2" s="594"/>
      <c r="K2" s="594"/>
      <c r="L2" s="594"/>
    </row>
    <row r="3" spans="2:27" ht="58.2" customHeight="1">
      <c r="C3" s="1635" t="s">
        <v>3302</v>
      </c>
      <c r="D3" s="1635"/>
      <c r="E3" s="1635"/>
      <c r="F3" s="1635"/>
      <c r="G3" s="1635"/>
      <c r="H3" s="1635"/>
      <c r="I3" s="1635"/>
      <c r="J3" s="543"/>
      <c r="K3" s="543"/>
      <c r="L3" s="543"/>
    </row>
    <row r="4" spans="2:27" ht="161.5" customHeight="1">
      <c r="C4" s="542"/>
      <c r="D4" s="542"/>
      <c r="E4" s="542"/>
      <c r="F4" s="542"/>
      <c r="G4" s="542"/>
      <c r="H4" s="542"/>
      <c r="I4" s="542"/>
      <c r="J4" s="542"/>
      <c r="K4" s="542"/>
      <c r="L4" s="542"/>
    </row>
    <row r="6" spans="2:27">
      <c r="C6" s="1634" t="s">
        <v>3693</v>
      </c>
      <c r="D6" s="1634"/>
      <c r="E6" s="1634"/>
      <c r="F6" s="1634"/>
      <c r="G6" s="1634"/>
      <c r="H6" s="1634"/>
      <c r="I6" s="1634"/>
      <c r="J6" s="1634"/>
      <c r="K6" s="1634"/>
      <c r="L6" s="1634"/>
      <c r="M6" s="1634"/>
      <c r="N6" s="418"/>
    </row>
    <row r="7" spans="2:27" ht="50.5" customHeight="1">
      <c r="B7" s="371"/>
      <c r="C7" s="585" t="s">
        <v>984</v>
      </c>
      <c r="D7" s="585" t="s">
        <v>985</v>
      </c>
      <c r="E7" s="586" t="s">
        <v>2857</v>
      </c>
      <c r="F7" s="586" t="s">
        <v>2856</v>
      </c>
      <c r="G7" s="586" t="s">
        <v>2858</v>
      </c>
      <c r="H7" s="586" t="s">
        <v>2859</v>
      </c>
      <c r="I7" s="555" t="s">
        <v>2474</v>
      </c>
      <c r="J7" s="555"/>
      <c r="K7" s="555"/>
      <c r="L7" s="581"/>
      <c r="Q7" s="416"/>
      <c r="R7" s="420" t="s">
        <v>1923</v>
      </c>
      <c r="S7" s="420" t="s">
        <v>1924</v>
      </c>
      <c r="T7" s="420" t="s">
        <v>1925</v>
      </c>
      <c r="U7" s="420" t="s">
        <v>1926</v>
      </c>
      <c r="V7" s="420" t="s">
        <v>1927</v>
      </c>
      <c r="W7" s="420" t="s">
        <v>531</v>
      </c>
      <c r="X7" s="420" t="s">
        <v>1928</v>
      </c>
      <c r="Y7" s="420" t="s">
        <v>1929</v>
      </c>
      <c r="Z7" s="420" t="s">
        <v>1930</v>
      </c>
      <c r="AA7" s="420" t="s">
        <v>1931</v>
      </c>
    </row>
    <row r="8" spans="2:27" ht="26.25" customHeight="1">
      <c r="B8" s="371"/>
      <c r="C8" s="587">
        <v>1</v>
      </c>
      <c r="D8" s="587">
        <v>2</v>
      </c>
      <c r="E8" s="588">
        <v>3</v>
      </c>
      <c r="F8" s="588">
        <v>4</v>
      </c>
      <c r="G8" s="588">
        <v>5</v>
      </c>
      <c r="H8" s="588">
        <v>6</v>
      </c>
      <c r="I8" s="556">
        <v>7</v>
      </c>
      <c r="J8" s="556"/>
      <c r="K8" s="556"/>
      <c r="L8" s="582"/>
      <c r="Q8" s="424" t="s">
        <v>2888</v>
      </c>
      <c r="R8" s="420">
        <f>E9</f>
        <v>4584.8110000000015</v>
      </c>
      <c r="S8" s="420">
        <f>E10</f>
        <v>15544.962999999998</v>
      </c>
      <c r="T8" s="421">
        <f>E11</f>
        <v>1296.83</v>
      </c>
      <c r="U8" s="420">
        <f>E12</f>
        <v>1710.9120000000003</v>
      </c>
      <c r="V8" s="421">
        <f>E13</f>
        <v>300.09199999999998</v>
      </c>
      <c r="W8" s="420">
        <f>E14</f>
        <v>12417.771999999999</v>
      </c>
      <c r="X8" s="420">
        <f>E15</f>
        <v>240.535</v>
      </c>
      <c r="Y8" s="420">
        <f>E16</f>
        <v>3957.2450000000003</v>
      </c>
      <c r="Z8" s="421">
        <f>E17</f>
        <v>1089.8</v>
      </c>
      <c r="AA8" s="420">
        <f>E18</f>
        <v>14770.977999999999</v>
      </c>
    </row>
    <row r="9" spans="2:27" ht="24" customHeight="1">
      <c r="B9" s="371"/>
      <c r="C9" s="589">
        <v>1</v>
      </c>
      <c r="D9" s="406" t="s">
        <v>1751</v>
      </c>
      <c r="E9" s="598">
        <f>SUM('1 programa (VII) '!E198)</f>
        <v>4584.8110000000015</v>
      </c>
      <c r="F9" s="598">
        <f>SUM('1 programa (VII) '!F198)</f>
        <v>4596.8290000000006</v>
      </c>
      <c r="G9" s="599">
        <f>SUM('1 programa (VII) '!G198)</f>
        <v>4120.697000000001</v>
      </c>
      <c r="H9" s="600">
        <f>G9/F9</f>
        <v>0.89642164196231799</v>
      </c>
      <c r="I9" s="557">
        <f>SUM('1 programa (VII) '!H198)</f>
        <v>5677.4240000000009</v>
      </c>
      <c r="J9" s="557">
        <v>4375.8289999999997</v>
      </c>
      <c r="K9" s="557">
        <v>3899.6970000000001</v>
      </c>
      <c r="L9" s="557"/>
      <c r="M9" s="566">
        <f t="shared" ref="M9:M19" si="0">F9-J9</f>
        <v>221.00000000000091</v>
      </c>
      <c r="N9" s="583">
        <f t="shared" ref="N9:N19" si="1">G9-K9</f>
        <v>221.00000000000091</v>
      </c>
      <c r="Q9" s="424" t="s">
        <v>2856</v>
      </c>
      <c r="R9" s="420">
        <f>F9</f>
        <v>4596.8290000000006</v>
      </c>
      <c r="S9" s="420">
        <f>F10</f>
        <v>16481.625</v>
      </c>
      <c r="T9" s="421">
        <f>F11</f>
        <v>1296.83</v>
      </c>
      <c r="U9" s="420">
        <f>F12</f>
        <v>1913.163</v>
      </c>
      <c r="V9" s="421">
        <f>F13</f>
        <v>273.46899999999999</v>
      </c>
      <c r="W9" s="420">
        <f>F14</f>
        <v>13859.59</v>
      </c>
      <c r="X9" s="421">
        <f>F15</f>
        <v>280.084</v>
      </c>
      <c r="Y9" s="420">
        <f>F16</f>
        <v>3847.2500000000009</v>
      </c>
      <c r="Z9" s="421">
        <f>F17</f>
        <v>1047.5039999999999</v>
      </c>
      <c r="AA9" s="420">
        <f>F18</f>
        <v>14301.78</v>
      </c>
    </row>
    <row r="10" spans="2:27" ht="22.95" customHeight="1">
      <c r="B10" s="371"/>
      <c r="C10" s="589">
        <v>2</v>
      </c>
      <c r="D10" s="407" t="s">
        <v>1752</v>
      </c>
      <c r="E10" s="598">
        <f>'2 programa (VIII)'!E295</f>
        <v>15544.962999999998</v>
      </c>
      <c r="F10" s="598">
        <f>'2 programa (VIII)'!F295</f>
        <v>16481.625</v>
      </c>
      <c r="G10" s="598">
        <f>'2 programa (VIII)'!G295</f>
        <v>15620.381000000001</v>
      </c>
      <c r="H10" s="600">
        <f t="shared" ref="H10:H18" si="2">G10/F10</f>
        <v>0.94774520109515903</v>
      </c>
      <c r="I10" s="557" t="e">
        <f>'2 programa (VIII)'!I295</f>
        <v>#REF!</v>
      </c>
      <c r="J10" s="557">
        <v>16447.66</v>
      </c>
      <c r="K10" s="557">
        <v>15593.045</v>
      </c>
      <c r="L10" s="557"/>
      <c r="M10" s="565">
        <f t="shared" si="0"/>
        <v>33.965000000000146</v>
      </c>
      <c r="N10" s="584">
        <f t="shared" si="1"/>
        <v>27.33600000000115</v>
      </c>
      <c r="Q10" s="424" t="s">
        <v>2858</v>
      </c>
      <c r="R10" s="421">
        <f>G9</f>
        <v>4120.697000000001</v>
      </c>
      <c r="S10" s="420">
        <f>G10</f>
        <v>15620.381000000001</v>
      </c>
      <c r="T10" s="421">
        <f>G11</f>
        <v>1299.405</v>
      </c>
      <c r="U10" s="420">
        <f>G12</f>
        <v>1802.0980000000002</v>
      </c>
      <c r="V10" s="421">
        <f>G13</f>
        <v>193.51</v>
      </c>
      <c r="W10" s="420">
        <f>G14</f>
        <v>12940.722</v>
      </c>
      <c r="X10" s="421">
        <f>G15</f>
        <v>240.10199999999998</v>
      </c>
      <c r="Y10" s="420">
        <f>G16</f>
        <v>3487.1910000000007</v>
      </c>
      <c r="Z10" s="421">
        <f>G17</f>
        <v>910.9190000000001</v>
      </c>
      <c r="AA10" s="420">
        <f>G18</f>
        <v>12988.987999999999</v>
      </c>
    </row>
    <row r="11" spans="2:27" ht="21" customHeight="1">
      <c r="B11" s="371"/>
      <c r="C11" s="589">
        <v>3</v>
      </c>
      <c r="D11" s="406" t="s">
        <v>1911</v>
      </c>
      <c r="E11" s="599">
        <f>'3 programa (X)'!E52</f>
        <v>1296.83</v>
      </c>
      <c r="F11" s="599">
        <f>'3 programa (X)'!F52</f>
        <v>1296.83</v>
      </c>
      <c r="G11" s="599">
        <f>'3 programa (X)'!G52</f>
        <v>1299.405</v>
      </c>
      <c r="H11" s="600">
        <f t="shared" si="2"/>
        <v>1.0019856110669865</v>
      </c>
      <c r="I11" s="557">
        <f>'3 programa (X)'!H52</f>
        <v>1.0019856110669865</v>
      </c>
      <c r="J11" s="557">
        <v>1296.83</v>
      </c>
      <c r="K11" s="557">
        <v>1299.405</v>
      </c>
      <c r="L11" s="557"/>
      <c r="M11" s="565">
        <f t="shared" si="0"/>
        <v>0</v>
      </c>
      <c r="N11" s="584">
        <f t="shared" si="1"/>
        <v>0</v>
      </c>
      <c r="Q11" s="417"/>
      <c r="R11" s="523"/>
      <c r="S11" s="523"/>
      <c r="T11" s="524"/>
      <c r="U11" s="523"/>
      <c r="V11" s="524"/>
      <c r="W11" s="524"/>
      <c r="X11" s="524"/>
      <c r="Y11" s="523"/>
      <c r="Z11" s="524"/>
      <c r="AA11" s="523"/>
    </row>
    <row r="12" spans="2:27" ht="24" customHeight="1">
      <c r="B12" s="371"/>
      <c r="C12" s="589">
        <v>4</v>
      </c>
      <c r="D12" s="406" t="s">
        <v>1912</v>
      </c>
      <c r="E12" s="598">
        <f>'4 programa (XI)'!E123</f>
        <v>1710.9120000000003</v>
      </c>
      <c r="F12" s="598">
        <f>'4 programa (XI)'!F123</f>
        <v>1913.163</v>
      </c>
      <c r="G12" s="598">
        <f>'4 programa (XI)'!G123</f>
        <v>1802.0980000000002</v>
      </c>
      <c r="H12" s="600">
        <f t="shared" si="2"/>
        <v>0.94194692245250411</v>
      </c>
      <c r="I12" s="557" t="e">
        <f>'4 programa (XI)'!#REF!</f>
        <v>#REF!</v>
      </c>
      <c r="J12" s="557">
        <v>1694.4570000000001</v>
      </c>
      <c r="K12" s="557">
        <v>1625.2929999999999</v>
      </c>
      <c r="L12" s="557"/>
      <c r="M12" s="565">
        <f t="shared" si="0"/>
        <v>218.7059999999999</v>
      </c>
      <c r="N12" s="584">
        <f t="shared" si="1"/>
        <v>176.80500000000029</v>
      </c>
    </row>
    <row r="13" spans="2:27" ht="24.65" customHeight="1">
      <c r="B13" s="371"/>
      <c r="C13" s="589">
        <v>5</v>
      </c>
      <c r="D13" s="406" t="s">
        <v>1913</v>
      </c>
      <c r="E13" s="599">
        <f>'5 programa (XII)'!E93</f>
        <v>300.09199999999998</v>
      </c>
      <c r="F13" s="599">
        <f>'5 programa (XII)'!F93</f>
        <v>273.46899999999999</v>
      </c>
      <c r="G13" s="599">
        <f>'5 programa (XII)'!G93</f>
        <v>193.51</v>
      </c>
      <c r="H13" s="600">
        <f t="shared" si="2"/>
        <v>0.70761219736057834</v>
      </c>
      <c r="I13" s="557" t="e">
        <f>'5 programa (XII)'!I93</f>
        <v>#REF!</v>
      </c>
      <c r="J13" s="557">
        <v>273.46899999999999</v>
      </c>
      <c r="K13" s="557">
        <v>193.51</v>
      </c>
      <c r="L13" s="557"/>
      <c r="M13" s="565">
        <f t="shared" si="0"/>
        <v>0</v>
      </c>
      <c r="N13" s="584">
        <f t="shared" si="1"/>
        <v>0</v>
      </c>
      <c r="T13" s="382"/>
    </row>
    <row r="14" spans="2:27" ht="16.95" customHeight="1">
      <c r="B14" s="371"/>
      <c r="C14" s="589">
        <v>6</v>
      </c>
      <c r="D14" s="399" t="s">
        <v>1914</v>
      </c>
      <c r="E14" s="598">
        <f>'6 programa (XIII)'!E225</f>
        <v>12417.771999999999</v>
      </c>
      <c r="F14" s="598">
        <f>'6 programa (XIII)'!F225</f>
        <v>13859.59</v>
      </c>
      <c r="G14" s="598">
        <f>'6 programa (XIII)'!G225</f>
        <v>12940.722</v>
      </c>
      <c r="H14" s="600">
        <f t="shared" si="2"/>
        <v>0.93370164629689623</v>
      </c>
      <c r="I14" s="557" t="e">
        <f>'6 programa (XIII)'!I225</f>
        <v>#REF!</v>
      </c>
      <c r="J14" s="557">
        <v>8309.8880000000008</v>
      </c>
      <c r="K14" s="557">
        <v>7407.7389999999996</v>
      </c>
      <c r="L14" s="557"/>
      <c r="M14" s="565">
        <f t="shared" si="0"/>
        <v>5549.7019999999993</v>
      </c>
      <c r="N14" s="584">
        <f t="shared" si="1"/>
        <v>5532.9830000000002</v>
      </c>
    </row>
    <row r="15" spans="2:27" ht="20.5" customHeight="1">
      <c r="B15" s="371"/>
      <c r="C15" s="589">
        <v>7</v>
      </c>
      <c r="D15" s="406" t="s">
        <v>1915</v>
      </c>
      <c r="E15" s="598">
        <f>'7 programa (XIV)'!E88</f>
        <v>240.535</v>
      </c>
      <c r="F15" s="598">
        <f>'7 programa (XIV)'!F88</f>
        <v>280.084</v>
      </c>
      <c r="G15" s="598">
        <f>'7 programa (XIV)'!G88</f>
        <v>240.10199999999998</v>
      </c>
      <c r="H15" s="600">
        <f t="shared" si="2"/>
        <v>0.85724996786678276</v>
      </c>
      <c r="I15" s="557">
        <f>'7 programa (XIV)'!H88</f>
        <v>0.85724996786678276</v>
      </c>
      <c r="J15" s="557">
        <v>280.084</v>
      </c>
      <c r="K15" s="557">
        <v>240.102</v>
      </c>
      <c r="L15" s="557"/>
      <c r="M15" s="565">
        <f t="shared" si="0"/>
        <v>0</v>
      </c>
      <c r="N15" s="584">
        <f t="shared" si="1"/>
        <v>0</v>
      </c>
      <c r="Q15" s="383"/>
      <c r="S15" s="383"/>
      <c r="T15" s="383"/>
    </row>
    <row r="16" spans="2:27" ht="18.75" customHeight="1">
      <c r="B16" s="371"/>
      <c r="C16" s="589">
        <v>8</v>
      </c>
      <c r="D16" s="406" t="s">
        <v>1916</v>
      </c>
      <c r="E16" s="598">
        <f>'8 programa (XV)'!E103</f>
        <v>3957.2450000000003</v>
      </c>
      <c r="F16" s="598">
        <f>'8 programa (XV)'!F103</f>
        <v>3847.2500000000009</v>
      </c>
      <c r="G16" s="598">
        <f>'8 programa (XV)'!G103</f>
        <v>3487.1910000000007</v>
      </c>
      <c r="H16" s="600">
        <f t="shared" si="2"/>
        <v>0.9064113327701605</v>
      </c>
      <c r="I16" s="557">
        <f>'8 programa (XV)'!I103</f>
        <v>4386.6190000000006</v>
      </c>
      <c r="J16" s="557">
        <v>3847.25</v>
      </c>
      <c r="K16" s="557">
        <v>3487.1909999999998</v>
      </c>
      <c r="L16" s="557"/>
      <c r="M16" s="565">
        <f t="shared" si="0"/>
        <v>0</v>
      </c>
      <c r="N16" s="584">
        <f t="shared" si="1"/>
        <v>0</v>
      </c>
    </row>
    <row r="17" spans="2:32" ht="16.5" customHeight="1">
      <c r="B17" s="371"/>
      <c r="C17" s="589">
        <v>9</v>
      </c>
      <c r="D17" s="406" t="s">
        <v>1917</v>
      </c>
      <c r="E17" s="598">
        <f>'9 programa (XVI)'!E180</f>
        <v>1089.8</v>
      </c>
      <c r="F17" s="598">
        <f>'9 programa (XVI)'!F180</f>
        <v>1047.5039999999999</v>
      </c>
      <c r="G17" s="598">
        <f>'9 programa (XVI)'!G180</f>
        <v>910.9190000000001</v>
      </c>
      <c r="H17" s="600">
        <f t="shared" si="2"/>
        <v>0.86960908979822527</v>
      </c>
      <c r="I17" s="557" t="e">
        <f>'9 programa (XVI)'!I180</f>
        <v>#REF!</v>
      </c>
      <c r="J17" s="557">
        <v>1047.5039999999999</v>
      </c>
      <c r="K17" s="557">
        <v>910.91800000000001</v>
      </c>
      <c r="L17" s="557"/>
      <c r="M17" s="566">
        <f t="shared" si="0"/>
        <v>0</v>
      </c>
      <c r="N17" s="583">
        <f t="shared" si="1"/>
        <v>1.00000000009004E-3</v>
      </c>
    </row>
    <row r="18" spans="2:32" ht="19.2" customHeight="1">
      <c r="B18" s="371"/>
      <c r="C18" s="589">
        <v>10</v>
      </c>
      <c r="D18" s="406" t="s">
        <v>1918</v>
      </c>
      <c r="E18" s="598">
        <f>'10 programa (XVII)'!E189</f>
        <v>14770.977999999999</v>
      </c>
      <c r="F18" s="598">
        <f>'10 programa (XVII)'!F189</f>
        <v>14301.78</v>
      </c>
      <c r="G18" s="598">
        <f>'10 programa (XVII)'!G189</f>
        <v>12988.987999999999</v>
      </c>
      <c r="H18" s="600">
        <f t="shared" si="2"/>
        <v>0.90820778951990588</v>
      </c>
      <c r="I18" s="557">
        <f>'10 programa (XVII)'!I189</f>
        <v>4733.369999999999</v>
      </c>
      <c r="J18" s="557">
        <v>14301.78</v>
      </c>
      <c r="K18" s="557">
        <v>12988.987999999999</v>
      </c>
      <c r="L18" s="557"/>
      <c r="M18" s="565">
        <f t="shared" si="0"/>
        <v>0</v>
      </c>
      <c r="N18" s="584">
        <f t="shared" si="1"/>
        <v>0</v>
      </c>
    </row>
    <row r="19" spans="2:32" ht="19.2" customHeight="1">
      <c r="B19" s="371"/>
      <c r="C19" s="589"/>
      <c r="D19" s="590" t="s">
        <v>1321</v>
      </c>
      <c r="E19" s="598">
        <f>SUM(E9:E18)</f>
        <v>55913.938000000009</v>
      </c>
      <c r="F19" s="598">
        <f>SUM(F9:F18)</f>
        <v>57898.124000000003</v>
      </c>
      <c r="G19" s="599">
        <f>SUM(G9:G18)</f>
        <v>53604.012999999999</v>
      </c>
      <c r="H19" s="600">
        <f>G19/F19</f>
        <v>0.92583333097286535</v>
      </c>
      <c r="I19" s="558" t="e">
        <f>SUM(I9:I18)</f>
        <v>#REF!</v>
      </c>
      <c r="J19" s="571">
        <v>51874.750999999997</v>
      </c>
      <c r="K19" s="571">
        <v>47645.887999999999</v>
      </c>
      <c r="L19" s="558"/>
      <c r="M19" s="565">
        <f t="shared" si="0"/>
        <v>6023.3730000000069</v>
      </c>
      <c r="N19" s="584">
        <f t="shared" si="1"/>
        <v>5958.125</v>
      </c>
      <c r="O19" s="572"/>
      <c r="P19" s="572"/>
    </row>
    <row r="20" spans="2:32" ht="26.25" customHeight="1">
      <c r="B20" s="371"/>
      <c r="C20" s="1631" t="s">
        <v>986</v>
      </c>
      <c r="D20" s="1631"/>
      <c r="E20" s="591">
        <f>SUM(E22,E24,E25,E26,E27,E28,)</f>
        <v>49455.72</v>
      </c>
      <c r="F20" s="591">
        <f>SUM(F22,F24,F25,F26,F27,F28,)</f>
        <v>52095.751000000004</v>
      </c>
      <c r="G20" s="591">
        <f>SUM(G22,G24,G25,G26,G27,G28,)</f>
        <v>47866.88700000001</v>
      </c>
      <c r="H20" s="601">
        <f>G20/F20</f>
        <v>0.91882516483925925</v>
      </c>
      <c r="I20" s="559" t="e">
        <f>SUM(I22,I24,I25,I26,I27,I28,)</f>
        <v>#REF!</v>
      </c>
      <c r="J20" s="559"/>
      <c r="K20" s="559"/>
      <c r="L20" s="381"/>
      <c r="N20" s="423">
        <f>M20</f>
        <v>0</v>
      </c>
      <c r="O20" s="572"/>
      <c r="P20" s="572"/>
    </row>
    <row r="21" spans="2:32" ht="21" customHeight="1">
      <c r="B21" s="371"/>
      <c r="C21" s="1630" t="s">
        <v>987</v>
      </c>
      <c r="D21" s="1630"/>
      <c r="E21" s="405"/>
      <c r="F21" s="405"/>
      <c r="G21" s="405"/>
      <c r="H21" s="408"/>
      <c r="I21" s="560"/>
      <c r="J21" s="560"/>
      <c r="K21" s="560"/>
      <c r="L21" s="560"/>
      <c r="M21" s="576"/>
      <c r="N21" s="576"/>
    </row>
    <row r="22" spans="2:32" ht="24.65" customHeight="1">
      <c r="B22" s="371"/>
      <c r="C22" s="1630" t="s">
        <v>3301</v>
      </c>
      <c r="D22" s="1630"/>
      <c r="E22" s="409">
        <f>'1 programa (VII) '!E191+'2 programa (VIII)'!E285+'3 programa (X)'!E44+'4 programa (XI)'!E115+'5 programa (XII)'!E86+'6 programa (XIII)'!E216+'7 programa (XIV)'!E80+'8 programa (XV)'!E95+'9 programa (XVI)'!E173+'10 programa (XVII)'!E182</f>
        <v>30307.163</v>
      </c>
      <c r="F22" s="574">
        <f>'1 programa (VII) '!F191+'2 programa (VIII)'!F285+'3 programa (X)'!F44+'4 programa (XI)'!F115+'5 programa (XII)'!F86+'6 programa (XIII)'!F216+'7 programa (XIV)'!F80+'8 programa (XV)'!F95+'9 programa (XVI)'!F173+'10 programa (XVII)'!F182</f>
        <v>30352.201000000001</v>
      </c>
      <c r="G22" s="574">
        <f>'1 programa (VII) '!G191+'2 programa (VIII)'!G285+'3 programa (X)'!G44+'4 programa (XI)'!G115+'5 programa (XII)'!G86+'6 programa (XIII)'!G216+'7 programa (XIV)'!G80+'8 programa (XV)'!G95+'9 programa (XVI)'!G173+'10 programa (XVII)'!G182</f>
        <v>26060.577000000001</v>
      </c>
      <c r="H22" s="575">
        <f>G22/F22</f>
        <v>0.85860583883191866</v>
      </c>
      <c r="I22" s="561" t="e">
        <f>'1 programa (VII) '!H191+'2 programa (VIII)'!I285+'3 programa (X)'!H44+'4 programa (XI)'!#REF!+'5 programa (XII)'!I86+'6 programa (XIII)'!I216+'7 programa (XIV)'!H80+'8 programa (XV)'!I95+'9 programa (XVI)'!I173+'10 programa (XVII)'!I182</f>
        <v>#REF!</v>
      </c>
      <c r="J22" s="561">
        <v>33435.17</v>
      </c>
      <c r="K22" s="561">
        <v>28941.481</v>
      </c>
      <c r="L22" s="561"/>
      <c r="M22" s="577"/>
      <c r="N22" s="577"/>
      <c r="O22" s="383"/>
      <c r="P22" s="383"/>
      <c r="AE22" s="383"/>
    </row>
    <row r="23" spans="2:32" ht="11.25" hidden="1" customHeight="1">
      <c r="B23" s="371"/>
      <c r="C23" s="1636" t="s">
        <v>2586</v>
      </c>
      <c r="D23" s="1636"/>
      <c r="E23" s="578"/>
      <c r="F23" s="579"/>
      <c r="G23" s="579"/>
      <c r="H23" s="575" t="e">
        <f t="shared" ref="H23:H31" si="3">G23/F23</f>
        <v>#DIV/0!</v>
      </c>
      <c r="I23" s="562">
        <f>'7 programa (XIV)'!H81+'8 programa (XV)'!I96</f>
        <v>47.345409102867663</v>
      </c>
      <c r="J23" s="562"/>
      <c r="K23" s="562"/>
      <c r="L23" s="562"/>
      <c r="M23" s="576"/>
      <c r="N23" s="576"/>
      <c r="O23" s="383"/>
      <c r="P23" s="383"/>
      <c r="Q23" s="383"/>
      <c r="AE23" s="383"/>
    </row>
    <row r="24" spans="2:32" ht="15" customHeight="1">
      <c r="B24" s="371"/>
      <c r="C24" s="1630" t="s">
        <v>988</v>
      </c>
      <c r="D24" s="1630"/>
      <c r="E24" s="408">
        <f>'1 programa (VII) '!E192+'2 programa (VIII)'!E286+'3 programa (X)'!E45+'4 programa (XI)'!E116+'5 programa (XII)'!E87+'6 programa (XIII)'!E217+'7 programa (XIV)'!E82+'8 programa (XV)'!E97+'9 programa (XVI)'!E174+'10 programa (XVII)'!E183</f>
        <v>11717.041999999999</v>
      </c>
      <c r="F24" s="408">
        <f>'1 programa (VII) '!F192+'2 programa (VIII)'!F286+'3 programa (X)'!F45+'4 programa (XI)'!F116+'5 programa (XII)'!F87+'6 programa (XIII)'!F217+'7 programa (XIV)'!F82+'8 programa (XV)'!F97+'9 programa (XVI)'!F174+'10 programa (XVII)'!F183</f>
        <v>13433.043000000001</v>
      </c>
      <c r="G24" s="408">
        <f>'1 programa (VII) '!G192+'2 programa (VIII)'!G286+'3 programa (X)'!G45+'4 programa (XI)'!G116+'5 programa (XII)'!G87+'6 programa (XIII)'!G217+'7 programa (XIV)'!G82+'8 programa (XV)'!G97+'9 programa (XVI)'!G174+'10 programa (XVII)'!G183</f>
        <v>13372.194000000003</v>
      </c>
      <c r="H24" s="575">
        <f t="shared" si="3"/>
        <v>0.9954701998646176</v>
      </c>
      <c r="I24" s="563" t="e">
        <f>'1 programa (VII) '!H192+'2 programa (VIII)'!I286+'3 programa (X)'!H45+'4 programa (XI)'!#REF!+'5 programa (XII)'!I87+'6 programa (XIII)'!I217+'7 programa (XIV)'!H82+'8 programa (XV)'!I97+'9 programa (XVI)'!I174+'10 programa (XVII)'!I183</f>
        <v>#REF!</v>
      </c>
      <c r="J24" s="563">
        <v>13433.043</v>
      </c>
      <c r="K24" s="563">
        <v>13372.194</v>
      </c>
      <c r="L24" s="563"/>
      <c r="M24" s="577"/>
      <c r="N24" s="576"/>
    </row>
    <row r="25" spans="2:32" ht="16.95" customHeight="1">
      <c r="B25" s="371"/>
      <c r="C25" s="1630" t="s">
        <v>989</v>
      </c>
      <c r="D25" s="1630"/>
      <c r="E25" s="408">
        <f>'1 programa (VII) '!E193+'2 programa (VIII)'!E290+'3 programa (X)'!E47+'4 programa (XI)'!E118+'5 programa (XII)'!E88+'6 programa (XIII)'!E220+'7 programa (XIV)'!E83+'8 programa (XV)'!E98+'9 programa (XVI)'!E175+'10 programa (XVII)'!E184</f>
        <v>1424.6419999999998</v>
      </c>
      <c r="F25" s="408">
        <f>'1 programa (VII) '!F193+'2 programa (VIII)'!F290+'3 programa (X)'!F47+'4 programa (XI)'!F118+'5 programa (XII)'!F88+'6 programa (XIII)'!F220+'7 programa (XIV)'!F83+'8 programa (XV)'!F98+'9 programa (XVI)'!F175+'10 programa (XVII)'!F184</f>
        <v>1532.3569999999997</v>
      </c>
      <c r="G25" s="408">
        <f>'1 programa (VII) '!G193+'2 programa (VIII)'!G290+'3 programa (X)'!G47+'4 programa (XI)'!G118+'5 programa (XII)'!G88+'6 programa (XIII)'!G220+'7 programa (XIV)'!G83+'8 programa (XV)'!G98+'9 programa (XVI)'!G175+'10 programa (XVII)'!G184</f>
        <v>1504.1589999999999</v>
      </c>
      <c r="H25" s="575">
        <f t="shared" si="3"/>
        <v>0.98159828290665951</v>
      </c>
      <c r="I25" s="563" t="e">
        <f>'1 programa (VII) '!H193+'2 programa (VIII)'!I290+'3 programa (X)'!H47+'4 programa (XI)'!#REF!+'5 programa (XII)'!I88+'6 programa (XIII)'!I220+'7 programa (XIV)'!H83+'8 programa (XV)'!I98+'9 programa (XVI)'!I175+'10 programa (XVII)'!I184</f>
        <v>#REF!</v>
      </c>
      <c r="J25" s="563">
        <v>15352.357</v>
      </c>
      <c r="K25" s="563">
        <v>1504.1610000000001</v>
      </c>
      <c r="L25" s="563"/>
      <c r="M25" s="577"/>
      <c r="N25" s="577">
        <f>K25-G25</f>
        <v>2.00000000018008E-3</v>
      </c>
      <c r="AE25" s="383"/>
    </row>
    <row r="26" spans="2:32" ht="22.2" customHeight="1">
      <c r="B26" s="371"/>
      <c r="C26" s="1630" t="s">
        <v>1910</v>
      </c>
      <c r="D26" s="1630"/>
      <c r="E26" s="408">
        <f>'1 programa (VII) '!E194+'2 programa (VIII)'!E291+'3 programa (X)'!E48+'4 programa (XI)'!E119+'5 programa (XII)'!E89+'6 programa (XIII)'!E221+'7 programa (XIV)'!E84+'8 programa (XV)'!E99+'9 programa (XVI)'!E176+'10 programa (XVII)'!E185</f>
        <v>3936.8829999999998</v>
      </c>
      <c r="F26" s="408">
        <f>'1 programa (VII) '!F194+'2 programa (VIII)'!F291+'3 programa (X)'!F48+'4 programa (XI)'!F119+'5 programa (XII)'!F89+'6 programa (XIII)'!F221+'7 programa (XIV)'!F84+'8 programa (XV)'!F99+'9 programa (XVI)'!F176+'10 programa (XVII)'!F185</f>
        <v>4928.3050000000003</v>
      </c>
      <c r="G26" s="405">
        <f>'1 programa (VII) '!G194+'2 programa (VIII)'!G291+'3 programa (X)'!G48+'4 programa (XI)'!G119+'5 programa (XII)'!G89+'6 programa (XIII)'!G221+'7 programa (XIV)'!G84+'8 programa (XV)'!G99+'9 programa (XVI)'!G176+'10 programa (XVII)'!G185</f>
        <v>5279.7099999999991</v>
      </c>
      <c r="H26" s="575">
        <f t="shared" si="3"/>
        <v>1.0713034197355884</v>
      </c>
      <c r="I26" s="563" t="e">
        <f>'1 programa (VII) '!H194+'2 programa (VIII)'!I291+'3 programa (X)'!H48+'4 programa (XI)'!#REF!+'5 programa (XII)'!I89+'6 programa (XIII)'!I221+'7 programa (XIV)'!H84+'8 programa (XV)'!I99+'9 programa (XVI)'!I176+'10 programa (XVII)'!I185</f>
        <v>#REF!</v>
      </c>
      <c r="J26" s="563">
        <v>4928.3050000000003</v>
      </c>
      <c r="K26" s="563">
        <v>5279.71</v>
      </c>
      <c r="L26" s="563"/>
      <c r="M26" s="577"/>
      <c r="N26" s="577">
        <f>G26-K26</f>
        <v>0</v>
      </c>
      <c r="O26" s="383"/>
      <c r="P26" s="383"/>
      <c r="Q26" s="383"/>
      <c r="AE26" s="383"/>
      <c r="AF26" s="383"/>
    </row>
    <row r="27" spans="2:32" ht="17.5" customHeight="1">
      <c r="B27" s="371"/>
      <c r="C27" s="1630" t="s">
        <v>990</v>
      </c>
      <c r="D27" s="1630"/>
      <c r="E27" s="405">
        <f>'1 programa (VII) '!E195+'2 programa (VIII)'!E292+'3 programa (X)'!E49+'4 programa (XI)'!E120+'5 programa (XII)'!E90+'6 programa (XIII)'!E222+'7 programa (XIV)'!E85+'8 programa (XV)'!E100+'9 programa (XVI)'!E177+'10 programa (XVII)'!E186</f>
        <v>2069.9899999999998</v>
      </c>
      <c r="F27" s="405">
        <f>'1 programa (VII) '!F195+'2 programa (VIII)'!F292+'3 programa (X)'!F49+'4 programa (XI)'!F120+'5 programa (XII)'!F90+'6 programa (XIII)'!F222+'7 programa (XIV)'!F85+'8 programa (XV)'!F100+'9 programa (XVI)'!F177+'10 programa (XVII)'!F186</f>
        <v>1849.8449999999998</v>
      </c>
      <c r="G27" s="405">
        <f>'1 programa (VII) '!G195+'2 programa (VIII)'!G292+'3 programa (X)'!G49+'4 programa (XI)'!G120+'5 programa (XII)'!G90+'6 programa (XIII)'!G222+'7 programa (XIV)'!G85+'8 programa (XV)'!G100+'9 programa (XVI)'!G177+'10 programa (XVII)'!G186</f>
        <v>1650.2469999999998</v>
      </c>
      <c r="H27" s="575">
        <f t="shared" si="3"/>
        <v>0.892100148931397</v>
      </c>
      <c r="I27" s="563" t="e">
        <f>'1 programa (VII) '!H195+'2 programa (VIII)'!I292+'3 programa (X)'!H49+'4 programa (XI)'!#REF!+'5 programa (XII)'!I90+'6 programa (XIII)'!I222+'7 programa (XIV)'!H85+'8 programa (XV)'!I100+'9 programa (XVI)'!I177+'10 programa (XVII)'!I186</f>
        <v>#REF!</v>
      </c>
      <c r="J27" s="563"/>
      <c r="K27" s="563"/>
      <c r="L27" s="563"/>
      <c r="M27" s="577"/>
      <c r="N27" s="577"/>
      <c r="O27" s="383"/>
      <c r="P27" s="383"/>
      <c r="AE27" s="383"/>
      <c r="AF27" s="383"/>
    </row>
    <row r="28" spans="2:32" ht="18" hidden="1" customHeight="1">
      <c r="B28" s="371"/>
      <c r="C28" s="1630" t="s">
        <v>991</v>
      </c>
      <c r="D28" s="1630"/>
      <c r="E28" s="405">
        <f>'1 programa (VII) '!E196+'2 programa (VIII)'!E293+'3 programa (X)'!E50+'4 programa (XI)'!E121+'5 programa (XII)'!E91+'6 programa (XIII)'!E223+'7 programa (XIV)'!E86+'8 programa (XV)'!E101+'9 programa (XVI)'!E178+'10 programa (XVII)'!E187</f>
        <v>0</v>
      </c>
      <c r="F28" s="405">
        <f>'1 programa (VII) '!F196+'2 programa (VIII)'!F293+'3 programa (X)'!F50+'4 programa (XI)'!F121+'5 programa (XII)'!F91+'6 programa (XIII)'!F223+'7 programa (XIV)'!F86+'8 programa (XV)'!F101+'9 programa (XVI)'!F178+'10 programa (XVII)'!F187</f>
        <v>0</v>
      </c>
      <c r="G28" s="405">
        <f>'1 programa (VII) '!G196+'2 programa (VIII)'!G293+'3 programa (X)'!G50+'4 programa (XI)'!G121+'5 programa (XII)'!G91+'6 programa (XIII)'!G223+'7 programa (XIV)'!G86+'8 programa (XV)'!G101+'9 programa (XVI)'!G178+'10 programa (XVII)'!G187</f>
        <v>0</v>
      </c>
      <c r="H28" s="575" t="e">
        <f t="shared" si="3"/>
        <v>#DIV/0!</v>
      </c>
      <c r="I28" s="563" t="e">
        <f>'1 programa (VII) '!H196+'2 programa (VIII)'!I293+'3 programa (X)'!H50+'4 programa (XI)'!#REF!+'5 programa (XII)'!I91+'6 programa (XIII)'!I223+'7 programa (XIV)'!H86+'8 programa (XV)'!I101+'9 programa (XVI)'!I178+'10 programa (XVII)'!I187</f>
        <v>#REF!</v>
      </c>
      <c r="J28" s="563"/>
      <c r="K28" s="563"/>
      <c r="L28" s="563"/>
      <c r="M28" s="576"/>
      <c r="N28" s="576"/>
    </row>
    <row r="29" spans="2:32" ht="34.950000000000003" customHeight="1">
      <c r="B29" s="371"/>
      <c r="C29" s="1631" t="s">
        <v>992</v>
      </c>
      <c r="D29" s="1631"/>
      <c r="E29" s="591">
        <f>'1 programa (VII) '!E197+'2 programa (VIII)'!E294+'3 programa (X)'!E51+'4 programa (XI)'!E122+'5 programa (XII)'!E92+'6 programa (XIII)'!E224+'7 programa (XIV)'!E87+'8 programa (XV)'!E102+'9 programa (XVI)'!E179+'10 programa (XVII)'!E188</f>
        <v>6458.2179999999998</v>
      </c>
      <c r="F29" s="591">
        <f>'1 programa (VII) '!F197+'2 programa (VIII)'!F294+'3 programa (X)'!F51+'4 programa (XI)'!F122+'5 programa (XII)'!F92+'6 programa (XIII)'!F224+'7 programa (XIV)'!F87+'8 programa (XV)'!F102+'9 programa (XVI)'!F179+'10 programa (XVII)'!F188</f>
        <v>5802.3730000000005</v>
      </c>
      <c r="G29" s="591">
        <f>'1 programa (VII) '!G197+'2 programa (VIII)'!G294+'3 programa (X)'!G51+'4 programa (XI)'!G122+'5 programa (XII)'!G92+'6 programa (XIII)'!G224+'7 programa (XIV)'!G87+'8 programa (XV)'!G102+'9 programa (XVI)'!G179+'10 programa (XVII)'!G188</f>
        <v>5737.1260000000002</v>
      </c>
      <c r="H29" s="688">
        <f t="shared" si="3"/>
        <v>0.98875511794915627</v>
      </c>
      <c r="I29" s="563" t="e">
        <f>'1 programa (VII) '!H197+'2 programa (VIII)'!I294+'3 programa (X)'!H51+'4 programa (XI)'!#REF!+'5 programa (XII)'!I92+'6 programa (XIII)'!I224+'7 programa (XIV)'!H87+'8 programa (XV)'!I102+'9 programa (XVI)'!I179+'10 programa (XVII)'!I188</f>
        <v>#REF!</v>
      </c>
      <c r="J29" s="563"/>
      <c r="K29" s="563"/>
      <c r="L29" s="563"/>
      <c r="M29" s="577"/>
      <c r="N29" s="577"/>
      <c r="O29" s="383"/>
      <c r="P29" s="383"/>
      <c r="Q29" s="383"/>
      <c r="R29" s="383"/>
    </row>
    <row r="30" spans="2:32" ht="39" customHeight="1">
      <c r="B30" s="371"/>
      <c r="C30" s="1632" t="s">
        <v>3326</v>
      </c>
      <c r="D30" s="1632"/>
      <c r="E30" s="596">
        <f>E20+E29</f>
        <v>55913.938000000002</v>
      </c>
      <c r="F30" s="596">
        <f>F20+F29</f>
        <v>57898.124000000003</v>
      </c>
      <c r="G30" s="596">
        <f>G20+G29</f>
        <v>53604.013000000006</v>
      </c>
      <c r="H30" s="597">
        <f t="shared" si="3"/>
        <v>0.92583333097286546</v>
      </c>
      <c r="I30" s="558" t="e">
        <f>I20+I29</f>
        <v>#REF!</v>
      </c>
      <c r="J30" s="558"/>
      <c r="K30" s="558"/>
      <c r="L30" s="558"/>
      <c r="M30" s="577"/>
      <c r="N30" s="577"/>
      <c r="O30" s="383"/>
      <c r="P30" s="383"/>
      <c r="R30" s="383"/>
    </row>
    <row r="31" spans="2:32" ht="25.2" hidden="1" customHeight="1" thickBot="1">
      <c r="B31" s="371"/>
      <c r="C31" s="1630" t="s">
        <v>2733</v>
      </c>
      <c r="D31" s="1630"/>
      <c r="E31" s="580">
        <f>'1 programa (VII) '!E199+'2 programa (VIII)'!E296+'3 programa (X)'!E53+'4 programa (XI)'!E124+'5 programa (XII)'!E94+'6 programa (XIII)'!E226+'7 programa (XIV)'!E89+'8 programa (XV)'!E104+'9 programa (XVI)'!E181+'10 programa (XVII)'!E190</f>
        <v>49.277999999999999</v>
      </c>
      <c r="F31" s="580">
        <f>'1 programa (VII) '!F199+'2 programa (VIII)'!F296+'3 programa (X)'!F53+'4 programa (XI)'!F124+'5 programa (XII)'!F94+'6 programa (XIII)'!F226+'7 programa (XIV)'!F89+'8 programa (XV)'!F104+'9 programa (XVI)'!F181+'10 programa (XVII)'!F190</f>
        <v>212.27100000000002</v>
      </c>
      <c r="G31" s="580">
        <f>'1 programa (VII) '!G199+'2 programa (VIII)'!G296+'3 programa (X)'!G53+'4 programa (XI)'!G124+'5 programa (XII)'!G94+'6 programa (XIII)'!G226+'7 programa (XIV)'!G89+'8 programa (XV)'!G104+'9 programa (XVI)'!G181+'10 programa (XVII)'!G190</f>
        <v>0</v>
      </c>
      <c r="H31" s="410">
        <f t="shared" si="3"/>
        <v>0</v>
      </c>
      <c r="I31" s="558" t="e">
        <f>'1 programa (VII) '!H199+'2 programa (VIII)'!I296+'3 programa (X)'!H53+'4 programa (XI)'!#REF!+'5 programa (XII)'!I94+'6 programa (XIII)'!I226+'7 programa (XIV)'!H89+'8 programa (XV)'!I104+'9 programa (XVI)'!I181+'10 programa (XVII)'!I190</f>
        <v>#REF!</v>
      </c>
      <c r="J31" s="558"/>
      <c r="K31" s="558"/>
      <c r="L31" s="558"/>
      <c r="M31" s="576"/>
      <c r="N31" s="576"/>
      <c r="O31" s="383"/>
      <c r="P31" s="383"/>
    </row>
    <row r="32" spans="2:32" ht="25.95" hidden="1" customHeight="1" thickBot="1">
      <c r="B32" s="371"/>
      <c r="C32" s="1630" t="s">
        <v>993</v>
      </c>
      <c r="D32" s="1630"/>
      <c r="E32" s="408"/>
      <c r="F32" s="408"/>
      <c r="G32" s="408"/>
      <c r="H32" s="592"/>
      <c r="I32" s="564" t="e">
        <f>I30/E30-1</f>
        <v>#REF!</v>
      </c>
      <c r="J32" s="564"/>
      <c r="K32" s="564"/>
      <c r="L32" s="564"/>
      <c r="M32" s="576"/>
      <c r="N32" s="576"/>
    </row>
    <row r="33" spans="2:17">
      <c r="B33" s="371"/>
      <c r="C33" s="399"/>
      <c r="D33" s="593" t="s">
        <v>2475</v>
      </c>
      <c r="E33" s="593"/>
      <c r="F33" s="593"/>
      <c r="G33" s="593"/>
      <c r="H33" s="593"/>
      <c r="I33" s="371"/>
      <c r="J33" s="388"/>
      <c r="K33" s="371"/>
      <c r="L33" s="371"/>
      <c r="M33" s="576"/>
      <c r="N33" s="576"/>
    </row>
    <row r="34" spans="2:17">
      <c r="D34" s="595"/>
      <c r="E34" s="595"/>
      <c r="F34" s="595"/>
      <c r="G34" s="595"/>
      <c r="H34" s="595"/>
      <c r="M34" s="576"/>
      <c r="N34" s="576"/>
    </row>
    <row r="35" spans="2:17" hidden="1">
      <c r="H35" s="383"/>
    </row>
    <row r="36" spans="2:17" hidden="1">
      <c r="E36" s="383">
        <v>33435.17</v>
      </c>
      <c r="F36" s="368">
        <v>28941.481</v>
      </c>
      <c r="I36" s="383"/>
      <c r="J36" s="383"/>
      <c r="K36" s="383"/>
      <c r="L36" s="383"/>
    </row>
    <row r="37" spans="2:17" hidden="1">
      <c r="E37" s="383">
        <f>E36-F22-F25-F27</f>
        <v>-299.23300000000222</v>
      </c>
      <c r="F37" s="383">
        <f>F36-G22-G25-G27</f>
        <v>-273.50200000000109</v>
      </c>
    </row>
    <row r="38" spans="2:17" hidden="1">
      <c r="E38" s="383"/>
    </row>
    <row r="39" spans="2:17" hidden="1">
      <c r="E39" s="383">
        <v>221</v>
      </c>
      <c r="F39" s="383">
        <v>221</v>
      </c>
    </row>
    <row r="40" spans="2:17" hidden="1"/>
    <row r="41" spans="2:17" hidden="1">
      <c r="D41" s="420"/>
      <c r="E41" s="420"/>
      <c r="F41" s="420"/>
      <c r="G41" s="420"/>
      <c r="H41" s="420"/>
      <c r="I41" s="420"/>
      <c r="J41" s="420"/>
      <c r="K41" s="420"/>
      <c r="L41" s="420"/>
      <c r="M41" s="422"/>
      <c r="N41" s="422"/>
      <c r="O41" s="420"/>
      <c r="P41" s="420"/>
      <c r="Q41" s="420"/>
    </row>
    <row r="42" spans="2:17" hidden="1">
      <c r="D42" s="420"/>
      <c r="E42" s="420">
        <v>10536.325000000001</v>
      </c>
      <c r="F42" s="420">
        <v>2896.7179999999998</v>
      </c>
      <c r="G42" s="420">
        <f>E42+F42</f>
        <v>13433.043000000001</v>
      </c>
      <c r="H42" s="420"/>
      <c r="I42" s="420"/>
      <c r="J42" s="420"/>
      <c r="K42" s="420"/>
      <c r="L42" s="420"/>
      <c r="M42" s="422"/>
      <c r="N42" s="422"/>
      <c r="O42" s="420"/>
      <c r="P42" s="420"/>
      <c r="Q42" s="420"/>
    </row>
    <row r="43" spans="2:17" hidden="1">
      <c r="D43" s="420"/>
      <c r="E43" s="420">
        <v>10482.819</v>
      </c>
      <c r="F43" s="420">
        <v>2889.375</v>
      </c>
      <c r="G43" s="567">
        <f>E43+F43</f>
        <v>13372.194</v>
      </c>
      <c r="H43" s="420">
        <f>G43-G24</f>
        <v>0</v>
      </c>
      <c r="I43" s="420"/>
      <c r="J43" s="420"/>
      <c r="K43" s="420"/>
      <c r="L43" s="420"/>
      <c r="M43" s="422"/>
      <c r="N43" s="422"/>
      <c r="O43" s="420"/>
      <c r="P43" s="420"/>
      <c r="Q43" s="421"/>
    </row>
    <row r="44" spans="2:17" hidden="1">
      <c r="D44" s="420"/>
      <c r="E44" s="420"/>
      <c r="F44" s="420"/>
      <c r="G44" s="420"/>
      <c r="H44" s="420"/>
      <c r="I44" s="420"/>
      <c r="J44" s="420"/>
      <c r="K44" s="420"/>
      <c r="L44" s="420"/>
      <c r="M44" s="422"/>
      <c r="N44" s="422"/>
      <c r="O44" s="420"/>
      <c r="P44" s="420"/>
      <c r="Q44" s="421"/>
    </row>
    <row r="45" spans="2:17" hidden="1">
      <c r="D45" s="420"/>
      <c r="E45" s="420"/>
      <c r="F45" s="420"/>
      <c r="G45" s="420"/>
      <c r="H45" s="420"/>
      <c r="I45" s="420"/>
      <c r="J45" s="420"/>
      <c r="K45" s="420"/>
      <c r="L45" s="420"/>
      <c r="M45" s="422"/>
      <c r="N45" s="422"/>
      <c r="O45" s="420"/>
      <c r="P45" s="420"/>
      <c r="Q45" s="420"/>
    </row>
    <row r="46" spans="2:17" hidden="1">
      <c r="D46" s="420"/>
      <c r="E46" s="420"/>
      <c r="F46" s="420"/>
      <c r="G46" s="420"/>
      <c r="H46" s="420"/>
      <c r="I46" s="420"/>
      <c r="J46" s="420"/>
      <c r="K46" s="420"/>
      <c r="L46" s="420"/>
      <c r="M46" s="422"/>
      <c r="N46" s="422"/>
      <c r="O46" s="420"/>
      <c r="P46" s="420"/>
      <c r="Q46" s="420"/>
    </row>
    <row r="47" spans="2:17" hidden="1">
      <c r="D47" s="420"/>
      <c r="E47" s="568">
        <v>4928.3050000000003</v>
      </c>
      <c r="F47" s="569">
        <f>E47-F26</f>
        <v>0</v>
      </c>
      <c r="G47" s="420"/>
      <c r="H47" s="420"/>
      <c r="I47" s="420"/>
      <c r="J47" s="420"/>
      <c r="K47" s="420"/>
      <c r="L47" s="420"/>
      <c r="M47" s="422"/>
      <c r="N47" s="422"/>
      <c r="O47" s="420"/>
      <c r="P47" s="420"/>
      <c r="Q47" s="420"/>
    </row>
    <row r="48" spans="2:17" hidden="1">
      <c r="E48" s="569">
        <v>5279.71</v>
      </c>
      <c r="F48" s="570">
        <f>E48-G26</f>
        <v>0</v>
      </c>
    </row>
    <row r="49" spans="4:10" hidden="1"/>
    <row r="50" spans="4:10" hidden="1"/>
    <row r="51" spans="4:10" hidden="1">
      <c r="F51" s="383">
        <v>33435.17</v>
      </c>
      <c r="G51" s="368">
        <v>28941.481</v>
      </c>
    </row>
    <row r="52" spans="4:10" hidden="1">
      <c r="E52" s="421"/>
      <c r="F52" s="421"/>
      <c r="H52" s="383"/>
    </row>
    <row r="53" spans="4:10" hidden="1">
      <c r="D53" s="573"/>
      <c r="E53" s="383"/>
      <c r="F53" s="383">
        <f>F51-F22-F25-F27</f>
        <v>-299.23300000000222</v>
      </c>
      <c r="G53" s="383">
        <f>G51-G22-G25-G27</f>
        <v>-273.50200000000109</v>
      </c>
    </row>
    <row r="54" spans="4:10" hidden="1">
      <c r="D54" s="573"/>
      <c r="E54" s="383"/>
      <c r="F54" s="383"/>
    </row>
    <row r="55" spans="4:10" hidden="1">
      <c r="F55" s="383"/>
    </row>
    <row r="56" spans="4:10" hidden="1">
      <c r="E56" s="383"/>
      <c r="F56" s="417"/>
    </row>
    <row r="57" spans="4:10" hidden="1">
      <c r="F57" s="383"/>
    </row>
    <row r="58" spans="4:10" hidden="1">
      <c r="F58" s="417"/>
    </row>
    <row r="59" spans="4:10" hidden="1"/>
    <row r="60" spans="4:10" hidden="1"/>
    <row r="61" spans="4:10" hidden="1"/>
    <row r="62" spans="4:10" hidden="1">
      <c r="E62" s="368">
        <v>78.233000000000004</v>
      </c>
      <c r="F62" s="368">
        <v>52.503</v>
      </c>
    </row>
    <row r="63" spans="4:10" hidden="1">
      <c r="J63" s="383"/>
    </row>
    <row r="64" spans="4:10" hidden="1">
      <c r="J64" s="383"/>
    </row>
    <row r="65" spans="10:10" hidden="1">
      <c r="J65" s="383"/>
    </row>
    <row r="66" spans="10:10" hidden="1"/>
    <row r="67" spans="10:10" hidden="1"/>
    <row r="68" spans="10:10">
      <c r="J68" s="383"/>
    </row>
    <row r="69" spans="10:10">
      <c r="J69" s="383"/>
    </row>
  </sheetData>
  <mergeCells count="16">
    <mergeCell ref="C2:I2"/>
    <mergeCell ref="C31:D31"/>
    <mergeCell ref="C20:D20"/>
    <mergeCell ref="C21:D21"/>
    <mergeCell ref="C6:M6"/>
    <mergeCell ref="C22:D22"/>
    <mergeCell ref="C3:I3"/>
    <mergeCell ref="C23:D23"/>
    <mergeCell ref="C32:D32"/>
    <mergeCell ref="C24:D24"/>
    <mergeCell ref="C25:D25"/>
    <mergeCell ref="C26:D26"/>
    <mergeCell ref="C27:D27"/>
    <mergeCell ref="C28:D28"/>
    <mergeCell ref="C29:D29"/>
    <mergeCell ref="C30:D30"/>
  </mergeCells>
  <pageMargins left="0.7" right="0.7" top="0.75" bottom="0.75" header="0.3" footer="0.3"/>
  <pageSetup paperSize="9" scale="71"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8EDF9-B316-445A-AAD0-5382E82CBBC5}">
  <sheetPr codeName="Lapas8"/>
  <dimension ref="A1:P1193"/>
  <sheetViews>
    <sheetView topLeftCell="A190" zoomScale="110" zoomScaleNormal="110" workbookViewId="0">
      <selection activeCell="B33" sqref="B33:B34"/>
    </sheetView>
  </sheetViews>
  <sheetFormatPr defaultColWidth="9.15234375" defaultRowHeight="10.3"/>
  <cols>
    <col min="1" max="1" width="15.3046875" style="400" customWidth="1"/>
    <col min="2" max="2" width="38.3046875" style="400" customWidth="1"/>
    <col min="3" max="3" width="4.3046875" style="400" customWidth="1"/>
    <col min="4" max="4" width="7.3828125" style="400" customWidth="1"/>
    <col min="5" max="6" width="14.3046875" style="404" customWidth="1"/>
    <col min="7" max="7" width="14" style="404" customWidth="1"/>
    <col min="8" max="8" width="18.3046875" style="400" hidden="1" customWidth="1"/>
    <col min="9" max="9" width="14.3828125" style="400" customWidth="1"/>
    <col min="10" max="10" width="11.53515625" style="401" customWidth="1"/>
    <col min="11" max="11" width="83.69140625" style="1505" customWidth="1"/>
    <col min="12" max="12" width="13.3046875" style="401" customWidth="1"/>
    <col min="13" max="13" width="32.53515625" style="400" customWidth="1"/>
    <col min="14" max="14" width="15.69140625" style="400" customWidth="1"/>
    <col min="15" max="15" width="14.3046875" style="400" customWidth="1"/>
    <col min="16" max="16" width="15.15234375" style="401" customWidth="1"/>
    <col min="17" max="22" width="8.84375" style="400" customWidth="1"/>
    <col min="23" max="34" width="9.15234375" style="400" customWidth="1"/>
    <col min="35" max="16384" width="9.15234375" style="400"/>
  </cols>
  <sheetData>
    <row r="1" spans="1:16" ht="15.65" customHeight="1">
      <c r="A1" s="1726" t="s">
        <v>2140</v>
      </c>
      <c r="B1" s="1726"/>
      <c r="C1" s="1726"/>
      <c r="D1" s="1726"/>
      <c r="E1" s="1726"/>
      <c r="F1" s="1726"/>
      <c r="G1" s="1726"/>
      <c r="H1" s="1726"/>
      <c r="I1" s="1726"/>
      <c r="J1" s="1726"/>
      <c r="K1" s="1726"/>
      <c r="L1" s="427"/>
      <c r="M1" s="427"/>
      <c r="N1" s="427"/>
      <c r="O1" s="427"/>
      <c r="P1" s="427"/>
    </row>
    <row r="2" spans="1:16" ht="56.5" customHeight="1">
      <c r="A2" s="1740" t="s">
        <v>3747</v>
      </c>
      <c r="B2" s="1741"/>
      <c r="C2" s="1741"/>
      <c r="D2" s="1741"/>
      <c r="E2" s="1741"/>
      <c r="F2" s="1741"/>
      <c r="G2" s="1741"/>
      <c r="H2" s="1741"/>
      <c r="I2" s="1741"/>
      <c r="J2" s="1741"/>
      <c r="K2" s="1741"/>
      <c r="L2" s="1741"/>
      <c r="M2" s="1741"/>
      <c r="N2" s="1741"/>
      <c r="O2" s="1741"/>
      <c r="P2" s="1741"/>
    </row>
    <row r="3" spans="1:16" ht="11.6">
      <c r="A3" s="425" t="str">
        <f>A19</f>
        <v>01.01.01. (T)</v>
      </c>
      <c r="B3" s="426" t="str">
        <f>B19</f>
        <v>Gerinti  teikiamų paslaugų kokybę, didinti jų prieinamumą ir patrauklumą, tinkamai organizuojant savivaldybės administravimo subjektams  priskirtų funkcijų įgyvendinimą</v>
      </c>
      <c r="C3" s="425"/>
      <c r="D3" s="425"/>
      <c r="E3" s="425"/>
      <c r="F3" s="425"/>
      <c r="G3" s="425"/>
      <c r="H3" s="425"/>
      <c r="I3" s="425"/>
      <c r="J3" s="427"/>
      <c r="K3" s="1489"/>
      <c r="L3" s="427"/>
      <c r="M3" s="425"/>
      <c r="N3" s="425"/>
      <c r="O3" s="425"/>
      <c r="P3" s="427"/>
    </row>
    <row r="4" spans="1:16" ht="11.6">
      <c r="A4" s="425" t="str">
        <f>A35</f>
        <v>01.01.02 (T)</v>
      </c>
      <c r="B4" s="425" t="str">
        <f>B35</f>
        <v>Užtikrinti valstybinių  (valstybės perduotų savivaldybėms) funkcijų vykdymą</v>
      </c>
      <c r="C4" s="425"/>
      <c r="D4" s="425"/>
      <c r="E4" s="425"/>
      <c r="F4" s="425"/>
      <c r="G4" s="425"/>
      <c r="H4" s="425"/>
      <c r="I4" s="425"/>
      <c r="J4" s="427"/>
      <c r="K4" s="1489"/>
      <c r="L4" s="427"/>
      <c r="M4" s="425"/>
      <c r="N4" s="425"/>
      <c r="O4" s="425"/>
      <c r="P4" s="427"/>
    </row>
    <row r="5" spans="1:16" ht="11.6">
      <c r="A5" s="425" t="str">
        <f>A93</f>
        <v>01.01.03 (T)</v>
      </c>
      <c r="B5" s="425" t="str">
        <f>B93</f>
        <v>Užtikrinti efektyvų savivaldybei nuosavybės teise priklausančio nekilnojamojo  turto naudojimą, įmonių bei įstaigų valdymą</v>
      </c>
      <c r="C5" s="425"/>
      <c r="D5" s="425"/>
      <c r="E5" s="425"/>
      <c r="F5" s="425"/>
      <c r="G5" s="425"/>
      <c r="H5" s="425"/>
      <c r="I5" s="425"/>
      <c r="J5" s="427"/>
      <c r="K5" s="1489"/>
      <c r="L5" s="427"/>
      <c r="M5" s="425"/>
      <c r="N5" s="425"/>
      <c r="O5" s="425"/>
      <c r="P5" s="427"/>
    </row>
    <row r="6" spans="1:16" ht="11.6">
      <c r="A6" s="425" t="str">
        <f>A110</f>
        <v>01.01.04. (T)</v>
      </c>
      <c r="B6" s="425" t="str">
        <f>B110</f>
        <v>Sudaryti sąlygas iš anksto negalimoms suplanuoti priemonėms vykdyti bei savivaldybės finansiniams įsipareigojimams įgyvendinti</v>
      </c>
      <c r="C6" s="425"/>
      <c r="D6" s="425"/>
      <c r="E6" s="425"/>
      <c r="F6" s="425"/>
      <c r="G6" s="425"/>
      <c r="H6" s="425"/>
      <c r="I6" s="425"/>
      <c r="J6" s="427"/>
      <c r="K6" s="1489"/>
      <c r="L6" s="427"/>
      <c r="M6" s="425"/>
      <c r="N6" s="425"/>
      <c r="O6" s="425"/>
      <c r="P6" s="427"/>
    </row>
    <row r="7" spans="1:16" ht="11.6">
      <c r="A7" s="425" t="str">
        <f>A119</f>
        <v>01.01.05. (T)</v>
      </c>
      <c r="B7" s="425" t="str">
        <f>B119</f>
        <v>Įgyvendinti Visagino savivaldybės 
korupcijos prevencijos 2022-2024 metų veiksmų planą</v>
      </c>
      <c r="C7" s="425"/>
      <c r="D7" s="425"/>
      <c r="E7" s="425"/>
      <c r="F7" s="425"/>
      <c r="G7" s="425"/>
      <c r="H7" s="425"/>
      <c r="I7" s="425"/>
      <c r="J7" s="427"/>
      <c r="K7" s="1489"/>
      <c r="L7" s="427"/>
      <c r="M7" s="425"/>
      <c r="N7" s="425"/>
      <c r="O7" s="425"/>
      <c r="P7" s="427"/>
    </row>
    <row r="8" spans="1:16" ht="11.6">
      <c r="A8" s="425" t="str">
        <f>A122</f>
        <v>01.02.02. (T)</v>
      </c>
      <c r="B8" s="425" t="str">
        <f>B122</f>
        <v>Gerinti visuomenei teikiamų paslaugų kokybę, didinant jų atitiktį visuomenės poreikiams</v>
      </c>
      <c r="C8" s="425"/>
      <c r="D8" s="425"/>
      <c r="E8" s="425"/>
      <c r="F8" s="425"/>
      <c r="G8" s="425"/>
      <c r="H8" s="425"/>
      <c r="I8" s="425"/>
      <c r="J8" s="427"/>
      <c r="K8" s="1489"/>
      <c r="L8" s="427"/>
      <c r="M8" s="425"/>
      <c r="N8" s="425"/>
      <c r="O8" s="425"/>
      <c r="P8" s="427"/>
    </row>
    <row r="9" spans="1:16" ht="11.6">
      <c r="A9" s="425" t="str">
        <f>A165</f>
        <v>01.02.03. (T)</v>
      </c>
      <c r="B9" s="425" t="str">
        <f>B165</f>
        <v>Organizuoti savivaldybės veiklą vadovaujantis šiuolaikiniais vadybos metodais</v>
      </c>
      <c r="C9" s="425"/>
      <c r="D9" s="425"/>
      <c r="E9" s="425"/>
      <c r="F9" s="425"/>
      <c r="G9" s="425"/>
      <c r="H9" s="425"/>
      <c r="I9" s="425"/>
      <c r="J9" s="427"/>
      <c r="K9" s="1489"/>
      <c r="L9" s="427"/>
      <c r="M9" s="425"/>
      <c r="N9" s="425"/>
      <c r="O9" s="425"/>
      <c r="P9" s="427"/>
    </row>
    <row r="10" spans="1:16" ht="10.95" customHeight="1">
      <c r="A10" s="425" t="str">
        <f>A171</f>
        <v>01.02.04. (T)</v>
      </c>
      <c r="B10" s="426" t="str">
        <f>B171</f>
        <v>Informuoti visuomenę apie savivaldybės veiklą ir formuoti teigiamą savivaldybės įvaizdį, plėtoti dalykinius santykius ir ryšius su tarptautinėmis ir vietinėmis institucijomis ir organizacijomis</v>
      </c>
      <c r="C10" s="425"/>
      <c r="D10" s="425"/>
      <c r="E10" s="425"/>
      <c r="F10" s="425"/>
      <c r="G10" s="425"/>
      <c r="H10" s="425"/>
      <c r="I10" s="425"/>
      <c r="J10" s="427"/>
      <c r="K10" s="1490"/>
      <c r="L10" s="620"/>
      <c r="M10" s="428"/>
      <c r="N10" s="428"/>
      <c r="O10" s="428"/>
      <c r="P10" s="620"/>
    </row>
    <row r="11" spans="1:16" ht="9.65" customHeight="1">
      <c r="A11" s="425"/>
      <c r="B11" s="425"/>
      <c r="C11" s="425"/>
      <c r="D11" s="425"/>
      <c r="E11" s="425"/>
      <c r="F11" s="425"/>
      <c r="G11" s="425"/>
      <c r="H11" s="425"/>
      <c r="I11" s="425"/>
      <c r="J11" s="427"/>
      <c r="K11" s="1490"/>
      <c r="L11" s="620"/>
      <c r="M11" s="428"/>
      <c r="N11" s="428"/>
      <c r="O11" s="428"/>
      <c r="P11" s="620"/>
    </row>
    <row r="12" spans="1:16" ht="13.95" customHeight="1">
      <c r="A12" s="1573"/>
      <c r="B12" s="1739"/>
      <c r="C12" s="1739"/>
      <c r="D12" s="1739"/>
      <c r="E12" s="1739"/>
      <c r="F12" s="1739"/>
      <c r="G12" s="1739"/>
      <c r="H12" s="1739"/>
      <c r="I12" s="1739"/>
      <c r="J12" s="1739"/>
      <c r="K12" s="1739"/>
      <c r="L12" s="1739"/>
      <c r="M12" s="1739"/>
      <c r="N12" s="1739"/>
      <c r="O12" s="1739"/>
      <c r="P12" s="1739"/>
    </row>
    <row r="13" spans="1:16" ht="16.2" customHeight="1">
      <c r="A13" s="425" t="s">
        <v>2853</v>
      </c>
      <c r="B13" s="425"/>
      <c r="C13" s="1739" t="s">
        <v>2889</v>
      </c>
      <c r="D13" s="1739"/>
      <c r="E13" s="1739"/>
      <c r="F13" s="1739"/>
      <c r="G13" s="1739"/>
      <c r="H13" s="1739"/>
      <c r="I13" s="1739"/>
      <c r="J13" s="1739"/>
      <c r="K13" s="1489"/>
      <c r="L13" s="427"/>
      <c r="M13" s="425"/>
      <c r="N13" s="425"/>
      <c r="O13" s="425"/>
      <c r="P13" s="427"/>
    </row>
    <row r="14" spans="1:16" ht="15" customHeight="1">
      <c r="A14" s="425" t="s">
        <v>2735</v>
      </c>
      <c r="B14" s="425"/>
      <c r="C14" s="425"/>
      <c r="D14" s="433"/>
      <c r="E14" s="433"/>
      <c r="F14" s="433"/>
      <c r="G14" s="433"/>
      <c r="H14" s="433"/>
      <c r="I14" s="425"/>
      <c r="J14" s="427"/>
      <c r="K14" s="1489"/>
      <c r="L14" s="427"/>
      <c r="M14" s="425"/>
      <c r="N14" s="425"/>
      <c r="O14" s="425"/>
      <c r="P14" s="427"/>
    </row>
    <row r="15" spans="1:16" ht="9.65" customHeight="1">
      <c r="A15" s="425"/>
      <c r="B15" s="425"/>
      <c r="C15" s="425"/>
      <c r="D15" s="425"/>
      <c r="E15" s="425"/>
      <c r="F15" s="425"/>
      <c r="G15" s="425"/>
      <c r="H15" s="425"/>
      <c r="I15" s="425"/>
      <c r="J15" s="427"/>
      <c r="K15" s="1491"/>
      <c r="L15" s="620"/>
      <c r="M15" s="621"/>
      <c r="N15" s="621"/>
      <c r="O15" s="621"/>
      <c r="P15" s="620"/>
    </row>
    <row r="16" spans="1:16" s="425" customFormat="1" ht="16.5" customHeight="1">
      <c r="A16" s="429" t="s">
        <v>3694</v>
      </c>
      <c r="B16" s="429"/>
      <c r="C16" s="429"/>
      <c r="D16" s="429"/>
      <c r="E16" s="429"/>
      <c r="F16" s="429"/>
      <c r="G16" s="429"/>
      <c r="H16" s="429"/>
      <c r="J16" s="427"/>
      <c r="K16" s="1490"/>
      <c r="L16" s="428"/>
      <c r="M16" s="428"/>
      <c r="N16" s="428"/>
      <c r="O16" s="428"/>
      <c r="P16" s="637"/>
    </row>
    <row r="17" spans="1:16" s="425" customFormat="1" ht="48.65" customHeight="1">
      <c r="A17" s="1681" t="s">
        <v>1932</v>
      </c>
      <c r="B17" s="1681" t="s">
        <v>1933</v>
      </c>
      <c r="C17" s="1742" t="s">
        <v>1318</v>
      </c>
      <c r="D17" s="1742" t="s">
        <v>1319</v>
      </c>
      <c r="E17" s="1724" t="s">
        <v>2857</v>
      </c>
      <c r="F17" s="1724" t="s">
        <v>2856</v>
      </c>
      <c r="G17" s="1724" t="s">
        <v>2858</v>
      </c>
      <c r="H17" s="1724" t="s">
        <v>1950</v>
      </c>
      <c r="I17" s="1724" t="s">
        <v>2859</v>
      </c>
      <c r="J17" s="1724" t="s">
        <v>1951</v>
      </c>
      <c r="K17" s="1681" t="s">
        <v>2734</v>
      </c>
      <c r="L17" s="1680" t="s">
        <v>2861</v>
      </c>
      <c r="M17" s="1681" t="s">
        <v>2864</v>
      </c>
      <c r="N17" s="1683" t="s">
        <v>2860</v>
      </c>
      <c r="O17" s="1684"/>
      <c r="P17" s="1680" t="s">
        <v>3733</v>
      </c>
    </row>
    <row r="18" spans="1:16" s="425" customFormat="1" ht="59.25" customHeight="1">
      <c r="A18" s="1682"/>
      <c r="B18" s="1682"/>
      <c r="C18" s="1743"/>
      <c r="D18" s="1743"/>
      <c r="E18" s="1725"/>
      <c r="F18" s="1725"/>
      <c r="G18" s="1725"/>
      <c r="H18" s="1725"/>
      <c r="I18" s="1725"/>
      <c r="J18" s="1725"/>
      <c r="K18" s="1682"/>
      <c r="L18" s="1680"/>
      <c r="M18" s="1682"/>
      <c r="N18" s="463" t="s">
        <v>2862</v>
      </c>
      <c r="O18" s="463" t="s">
        <v>2863</v>
      </c>
      <c r="P18" s="1680"/>
    </row>
    <row r="19" spans="1:16" s="449" customFormat="1" ht="53.25" customHeight="1">
      <c r="A19" s="501" t="s">
        <v>1934</v>
      </c>
      <c r="B19" s="689" t="s">
        <v>1919</v>
      </c>
      <c r="C19" s="690"/>
      <c r="D19" s="496" t="s">
        <v>1321</v>
      </c>
      <c r="E19" s="496">
        <f>SUM(E23,E30,E32,E34,)</f>
        <v>3181.3590000000004</v>
      </c>
      <c r="F19" s="496">
        <f t="shared" ref="F19:G19" si="0">SUM(F23,F30,F32,F34,)</f>
        <v>3200.5880000000006</v>
      </c>
      <c r="G19" s="496">
        <f t="shared" si="0"/>
        <v>3023.6579999999999</v>
      </c>
      <c r="H19" s="691">
        <f>SUM(H23,H30,H32,H34,)</f>
        <v>3836.68</v>
      </c>
      <c r="I19" s="692">
        <f>G19/F19</f>
        <v>0.94471953278585041</v>
      </c>
      <c r="J19" s="496" t="s">
        <v>1215</v>
      </c>
      <c r="K19" s="1688"/>
      <c r="L19" s="1688"/>
      <c r="M19" s="1688"/>
      <c r="N19" s="1688"/>
      <c r="O19" s="1688"/>
      <c r="P19" s="1688"/>
    </row>
    <row r="20" spans="1:16" s="425" customFormat="1" ht="27.65" customHeight="1">
      <c r="A20" s="1735" t="s">
        <v>1935</v>
      </c>
      <c r="B20" s="1736" t="s">
        <v>2656</v>
      </c>
      <c r="C20" s="1737">
        <v>188711925</v>
      </c>
      <c r="D20" s="656" t="s">
        <v>668</v>
      </c>
      <c r="E20" s="701">
        <f>E25+E26</f>
        <v>2778.6000000000004</v>
      </c>
      <c r="F20" s="701">
        <f>F25+F26</f>
        <v>2709.0590000000002</v>
      </c>
      <c r="G20" s="701">
        <f>G25+G26</f>
        <v>2580.4549999999999</v>
      </c>
      <c r="H20" s="701">
        <f t="shared" ref="H20" si="1">SUM(H24:H26)</f>
        <v>3323.3199999999997</v>
      </c>
      <c r="I20" s="702">
        <f>G20/F20</f>
        <v>0.95252816568409904</v>
      </c>
      <c r="J20" s="1738" t="s">
        <v>2199</v>
      </c>
      <c r="K20" s="1699" t="s">
        <v>3748</v>
      </c>
      <c r="L20" s="1646" t="s">
        <v>689</v>
      </c>
      <c r="M20" s="1685" t="s">
        <v>2903</v>
      </c>
      <c r="N20" s="1650">
        <v>100</v>
      </c>
      <c r="O20" s="1650">
        <v>95</v>
      </c>
      <c r="P20" s="1646" t="s">
        <v>3549</v>
      </c>
    </row>
    <row r="21" spans="1:16" s="425" customFormat="1" ht="25.2" customHeight="1">
      <c r="A21" s="1735"/>
      <c r="B21" s="1736"/>
      <c r="C21" s="1737"/>
      <c r="D21" s="656" t="s">
        <v>1549</v>
      </c>
      <c r="E21" s="701">
        <v>12.269</v>
      </c>
      <c r="F21" s="701">
        <f>F28</f>
        <v>19.039000000000001</v>
      </c>
      <c r="G21" s="701">
        <f>G28</f>
        <v>18.478999999999999</v>
      </c>
      <c r="H21" s="701">
        <v>17.3</v>
      </c>
      <c r="I21" s="702">
        <f>G21/F21</f>
        <v>0.97058669047744095</v>
      </c>
      <c r="J21" s="1738"/>
      <c r="K21" s="1699"/>
      <c r="L21" s="1646"/>
      <c r="M21" s="1685"/>
      <c r="N21" s="1650"/>
      <c r="O21" s="1650"/>
      <c r="P21" s="1646"/>
    </row>
    <row r="22" spans="1:16" s="425" customFormat="1" ht="20.149999999999999" customHeight="1">
      <c r="A22" s="1735"/>
      <c r="B22" s="1736"/>
      <c r="C22" s="1737"/>
      <c r="D22" s="656" t="s">
        <v>1349</v>
      </c>
      <c r="E22" s="701">
        <f t="shared" ref="E22:F22" si="2">E27</f>
        <v>0</v>
      </c>
      <c r="F22" s="701">
        <f t="shared" si="2"/>
        <v>11.3</v>
      </c>
      <c r="G22" s="701">
        <f>G27</f>
        <v>11.3</v>
      </c>
      <c r="H22" s="701"/>
      <c r="I22" s="702">
        <f>G22/F22</f>
        <v>1</v>
      </c>
      <c r="J22" s="1738"/>
      <c r="K22" s="1699"/>
      <c r="L22" s="1646"/>
      <c r="M22" s="1685" t="s">
        <v>3602</v>
      </c>
      <c r="N22" s="1650">
        <v>4</v>
      </c>
      <c r="O22" s="1650">
        <v>4</v>
      </c>
      <c r="P22" s="1646" t="s">
        <v>3543</v>
      </c>
    </row>
    <row r="23" spans="1:16" s="425" customFormat="1" ht="381" customHeight="1">
      <c r="A23" s="1735"/>
      <c r="B23" s="1736"/>
      <c r="C23" s="1737"/>
      <c r="D23" s="705" t="s">
        <v>1321</v>
      </c>
      <c r="E23" s="706">
        <f>SUM(E20:E22)</f>
        <v>2790.8690000000001</v>
      </c>
      <c r="F23" s="706">
        <f>SUM(F20:F22)</f>
        <v>2739.3980000000006</v>
      </c>
      <c r="G23" s="706">
        <f>SUM(G20:G22)</f>
        <v>2610.2339999999999</v>
      </c>
      <c r="H23" s="706">
        <f>SUM(H20:H22)</f>
        <v>3340.62</v>
      </c>
      <c r="I23" s="707">
        <f>G23/F23</f>
        <v>0.95284949466999658</v>
      </c>
      <c r="J23" s="1738"/>
      <c r="K23" s="1699"/>
      <c r="L23" s="1646"/>
      <c r="M23" s="1685"/>
      <c r="N23" s="1650"/>
      <c r="O23" s="1650"/>
      <c r="P23" s="1646"/>
    </row>
    <row r="24" spans="1:16" s="425" customFormat="1" ht="66.75" hidden="1" customHeight="1">
      <c r="A24" s="1727"/>
      <c r="B24" s="709" t="s">
        <v>2591</v>
      </c>
      <c r="C24" s="710"/>
      <c r="D24" s="711" t="s">
        <v>668</v>
      </c>
      <c r="E24" s="712">
        <v>0</v>
      </c>
      <c r="F24" s="712"/>
      <c r="G24" s="712"/>
      <c r="H24" s="538">
        <v>374.45</v>
      </c>
      <c r="I24" s="537"/>
      <c r="J24" s="713"/>
      <c r="K24" s="1492"/>
      <c r="L24" s="714"/>
      <c r="M24" s="466"/>
      <c r="N24" s="466"/>
      <c r="O24" s="466"/>
      <c r="P24" s="714"/>
    </row>
    <row r="25" spans="1:16" s="425" customFormat="1" ht="22.95" hidden="1" customHeight="1">
      <c r="A25" s="1727"/>
      <c r="B25" s="715" t="s">
        <v>1322</v>
      </c>
      <c r="C25" s="716"/>
      <c r="D25" s="717" t="s">
        <v>668</v>
      </c>
      <c r="E25" s="718">
        <v>210.07</v>
      </c>
      <c r="F25" s="718">
        <v>64.728999999999999</v>
      </c>
      <c r="G25" s="718">
        <v>64.728999999999999</v>
      </c>
      <c r="H25" s="537">
        <v>0</v>
      </c>
      <c r="I25" s="537"/>
      <c r="J25" s="719"/>
      <c r="K25" s="1493"/>
      <c r="L25" s="720"/>
      <c r="M25" s="464"/>
      <c r="N25" s="464"/>
      <c r="O25" s="464"/>
      <c r="P25" s="720"/>
    </row>
    <row r="26" spans="1:16" s="425" customFormat="1" ht="20.149999999999999" hidden="1" customHeight="1">
      <c r="A26" s="1727"/>
      <c r="B26" s="1729" t="s">
        <v>1323</v>
      </c>
      <c r="C26" s="1732"/>
      <c r="D26" s="717" t="s">
        <v>668</v>
      </c>
      <c r="E26" s="537">
        <v>2568.5300000000002</v>
      </c>
      <c r="F26" s="537">
        <f>2709.059-64.729</f>
        <v>2644.3300000000004</v>
      </c>
      <c r="G26" s="537">
        <f>2580.455-64.729</f>
        <v>2515.7260000000001</v>
      </c>
      <c r="H26" s="537">
        <f>2949.39-0.52</f>
        <v>2948.87</v>
      </c>
      <c r="I26" s="537"/>
      <c r="J26" s="719"/>
      <c r="K26" s="1493"/>
      <c r="L26" s="720"/>
      <c r="M26" s="464"/>
      <c r="N26" s="464"/>
      <c r="O26" s="464"/>
      <c r="P26" s="720"/>
    </row>
    <row r="27" spans="1:16" s="425" customFormat="1" ht="20.149999999999999" hidden="1" customHeight="1">
      <c r="A27" s="1727"/>
      <c r="B27" s="1730"/>
      <c r="C27" s="1733"/>
      <c r="D27" s="717" t="s">
        <v>1349</v>
      </c>
      <c r="E27" s="537"/>
      <c r="F27" s="537">
        <v>11.3</v>
      </c>
      <c r="G27" s="537">
        <v>11.3</v>
      </c>
      <c r="H27" s="537"/>
      <c r="I27" s="537"/>
      <c r="J27" s="719"/>
      <c r="K27" s="1493"/>
      <c r="L27" s="720"/>
      <c r="M27" s="464"/>
      <c r="N27" s="464"/>
      <c r="O27" s="464"/>
      <c r="P27" s="720"/>
    </row>
    <row r="28" spans="1:16" s="425" customFormat="1" ht="20.149999999999999" hidden="1" customHeight="1">
      <c r="A28" s="1728"/>
      <c r="B28" s="1731"/>
      <c r="C28" s="1734"/>
      <c r="D28" s="717" t="s">
        <v>1324</v>
      </c>
      <c r="E28" s="537">
        <v>12.269</v>
      </c>
      <c r="F28" s="537">
        <v>19.039000000000001</v>
      </c>
      <c r="G28" s="537">
        <v>18.478999999999999</v>
      </c>
      <c r="H28" s="537">
        <v>17.3</v>
      </c>
      <c r="I28" s="537"/>
      <c r="J28" s="719"/>
      <c r="K28" s="1493"/>
      <c r="L28" s="720"/>
      <c r="M28" s="464"/>
      <c r="N28" s="464"/>
      <c r="O28" s="464"/>
      <c r="P28" s="720"/>
    </row>
    <row r="29" spans="1:16" s="425" customFormat="1" ht="37.200000000000003" customHeight="1">
      <c r="A29" s="1665" t="s">
        <v>1936</v>
      </c>
      <c r="B29" s="1715" t="s">
        <v>1920</v>
      </c>
      <c r="C29" s="1721">
        <v>188711925</v>
      </c>
      <c r="D29" s="724" t="s">
        <v>668</v>
      </c>
      <c r="E29" s="701">
        <f>138+12</f>
        <v>150</v>
      </c>
      <c r="F29" s="701">
        <v>227.95</v>
      </c>
      <c r="G29" s="701">
        <v>218.965</v>
      </c>
      <c r="H29" s="701">
        <f>364.59+18</f>
        <v>382.59</v>
      </c>
      <c r="I29" s="725">
        <f>G29/F29</f>
        <v>0.96058346128536964</v>
      </c>
      <c r="J29" s="1657" t="s">
        <v>2200</v>
      </c>
      <c r="K29" s="1640" t="s">
        <v>3550</v>
      </c>
      <c r="L29" s="1637" t="s">
        <v>396</v>
      </c>
      <c r="M29" s="1643" t="s">
        <v>2904</v>
      </c>
      <c r="N29" s="1647">
        <v>100</v>
      </c>
      <c r="O29" s="1647">
        <v>96</v>
      </c>
      <c r="P29" s="1637" t="s">
        <v>3545</v>
      </c>
    </row>
    <row r="30" spans="1:16" s="425" customFormat="1" ht="33" customHeight="1">
      <c r="A30" s="1671"/>
      <c r="B30" s="1716"/>
      <c r="C30" s="1723"/>
      <c r="D30" s="727" t="s">
        <v>1321</v>
      </c>
      <c r="E30" s="706">
        <f>E29</f>
        <v>150</v>
      </c>
      <c r="F30" s="706">
        <f>F29</f>
        <v>227.95</v>
      </c>
      <c r="G30" s="706">
        <f>G29</f>
        <v>218.965</v>
      </c>
      <c r="H30" s="706">
        <f>H29</f>
        <v>382.59</v>
      </c>
      <c r="I30" s="728">
        <f t="shared" ref="I30:I39" si="3">G30/F30</f>
        <v>0.96058346128536964</v>
      </c>
      <c r="J30" s="1664"/>
      <c r="K30" s="1641"/>
      <c r="L30" s="1639"/>
      <c r="M30" s="1645"/>
      <c r="N30" s="1648"/>
      <c r="O30" s="1648"/>
      <c r="P30" s="1639"/>
    </row>
    <row r="31" spans="1:16" s="425" customFormat="1" ht="35.25" customHeight="1">
      <c r="A31" s="1665" t="s">
        <v>1937</v>
      </c>
      <c r="B31" s="1715" t="s">
        <v>1763</v>
      </c>
      <c r="C31" s="1721">
        <v>188701436</v>
      </c>
      <c r="D31" s="724" t="s">
        <v>668</v>
      </c>
      <c r="E31" s="701">
        <v>100.96</v>
      </c>
      <c r="F31" s="701">
        <v>100.96</v>
      </c>
      <c r="G31" s="701">
        <v>91.774000000000001</v>
      </c>
      <c r="H31" s="701">
        <v>113.47</v>
      </c>
      <c r="I31" s="725">
        <f t="shared" si="3"/>
        <v>0.9090134706814581</v>
      </c>
      <c r="J31" s="1657" t="s">
        <v>2200</v>
      </c>
      <c r="K31" s="1640" t="s">
        <v>3546</v>
      </c>
      <c r="L31" s="1637" t="s">
        <v>3478</v>
      </c>
      <c r="M31" s="1643" t="s">
        <v>2905</v>
      </c>
      <c r="N31" s="1647">
        <v>3</v>
      </c>
      <c r="O31" s="1647">
        <v>2</v>
      </c>
      <c r="P31" s="1637" t="s">
        <v>3545</v>
      </c>
    </row>
    <row r="32" spans="1:16" s="425" customFormat="1" ht="53.25" customHeight="1">
      <c r="A32" s="1671"/>
      <c r="B32" s="1716"/>
      <c r="C32" s="1722"/>
      <c r="D32" s="730" t="s">
        <v>1321</v>
      </c>
      <c r="E32" s="731">
        <f>E31</f>
        <v>100.96</v>
      </c>
      <c r="F32" s="731">
        <f>F31</f>
        <v>100.96</v>
      </c>
      <c r="G32" s="731">
        <f>G31</f>
        <v>91.774000000000001</v>
      </c>
      <c r="H32" s="731">
        <f t="shared" ref="H32" si="4">H31</f>
        <v>113.47</v>
      </c>
      <c r="I32" s="707">
        <f t="shared" si="3"/>
        <v>0.9090134706814581</v>
      </c>
      <c r="J32" s="1664"/>
      <c r="K32" s="1641"/>
      <c r="L32" s="1639"/>
      <c r="M32" s="1645"/>
      <c r="N32" s="1649"/>
      <c r="O32" s="1649"/>
      <c r="P32" s="1639"/>
    </row>
    <row r="33" spans="1:16" s="425" customFormat="1" ht="31.5" customHeight="1">
      <c r="A33" s="1665" t="s">
        <v>1938</v>
      </c>
      <c r="B33" s="1667" t="s">
        <v>3755</v>
      </c>
      <c r="C33" s="1721">
        <v>188711925</v>
      </c>
      <c r="D33" s="657" t="s">
        <v>668</v>
      </c>
      <c r="E33" s="701">
        <v>139.53</v>
      </c>
      <c r="F33" s="701">
        <v>132.28</v>
      </c>
      <c r="G33" s="701">
        <v>102.685</v>
      </c>
      <c r="H33" s="701"/>
      <c r="I33" s="725">
        <f t="shared" si="3"/>
        <v>0.77627003326277599</v>
      </c>
      <c r="J33" s="1657"/>
      <c r="K33" s="1686" t="s">
        <v>3749</v>
      </c>
      <c r="L33" s="1637" t="s">
        <v>3479</v>
      </c>
      <c r="M33" s="1685" t="s">
        <v>3752</v>
      </c>
      <c r="N33" s="1735">
        <v>100</v>
      </c>
      <c r="O33" s="1735">
        <v>78</v>
      </c>
      <c r="P33" s="1637" t="s">
        <v>3545</v>
      </c>
    </row>
    <row r="34" spans="1:16" s="425" customFormat="1" ht="36" customHeight="1">
      <c r="A34" s="1671"/>
      <c r="B34" s="1672"/>
      <c r="C34" s="1723"/>
      <c r="D34" s="705" t="s">
        <v>1321</v>
      </c>
      <c r="E34" s="706">
        <f>E33</f>
        <v>139.53</v>
      </c>
      <c r="F34" s="706">
        <f>F33</f>
        <v>132.28</v>
      </c>
      <c r="G34" s="706">
        <f>G33</f>
        <v>102.685</v>
      </c>
      <c r="H34" s="731">
        <f t="shared" ref="H34" si="5">H33</f>
        <v>0</v>
      </c>
      <c r="I34" s="732">
        <f t="shared" si="3"/>
        <v>0.77627003326277599</v>
      </c>
      <c r="J34" s="1664"/>
      <c r="K34" s="1687"/>
      <c r="L34" s="1639"/>
      <c r="M34" s="1685"/>
      <c r="N34" s="1735"/>
      <c r="O34" s="1735"/>
      <c r="P34" s="1639"/>
    </row>
    <row r="35" spans="1:16" s="449" customFormat="1" ht="31.5" customHeight="1">
      <c r="A35" s="694" t="s">
        <v>1940</v>
      </c>
      <c r="B35" s="695" t="s">
        <v>3754</v>
      </c>
      <c r="C35" s="696"/>
      <c r="D35" s="501"/>
      <c r="E35" s="502">
        <f>SUM(E39,E51,E53,E55,E57,E59,E62,E67,E70,E72,E74,E77,E80,E82,E85,E87,E89,E92,E46,E65)</f>
        <v>491.01599999999996</v>
      </c>
      <c r="F35" s="502">
        <f>SUM(F39,F51,F53,F55,F57,F59,F62,F67,F70,F72,F74,F77,F80,F82,F85,F87,F89,F92,F46,F65)</f>
        <v>508.52499999999992</v>
      </c>
      <c r="G35" s="502">
        <f>SUM(G39,G51,G53,G55,G57,G59,G62,G67,G70,G72,G74,G77,G80,G82,G85,G87,G89,G92,G46,G65)</f>
        <v>470.45799999999991</v>
      </c>
      <c r="H35" s="502">
        <f>SUM(H39,H51,H53,H55,H57,H59,H62,H67,H70,H72,H74,H77,H80,H82,H85,H87,H89,H92,H46,H65)</f>
        <v>562.11400000000003</v>
      </c>
      <c r="I35" s="502">
        <f t="shared" si="3"/>
        <v>0.92514232338626412</v>
      </c>
      <c r="J35" s="697" t="s">
        <v>1215</v>
      </c>
      <c r="K35" s="1751"/>
      <c r="L35" s="1752"/>
      <c r="M35" s="1752"/>
      <c r="N35" s="1752"/>
      <c r="O35" s="1752"/>
      <c r="P35" s="1752"/>
    </row>
    <row r="36" spans="1:16" s="425" customFormat="1" ht="27.75" customHeight="1">
      <c r="A36" s="1665" t="s">
        <v>1939</v>
      </c>
      <c r="B36" s="1667" t="s">
        <v>839</v>
      </c>
      <c r="C36" s="1678" t="s">
        <v>1325</v>
      </c>
      <c r="D36" s="733" t="s">
        <v>1326</v>
      </c>
      <c r="E36" s="734">
        <v>20</v>
      </c>
      <c r="F36" s="734">
        <v>20</v>
      </c>
      <c r="G36" s="734">
        <v>20</v>
      </c>
      <c r="H36" s="734">
        <v>20</v>
      </c>
      <c r="I36" s="735">
        <f t="shared" si="3"/>
        <v>1</v>
      </c>
      <c r="J36" s="1657" t="s">
        <v>2201</v>
      </c>
      <c r="K36" s="1640" t="s">
        <v>2906</v>
      </c>
      <c r="L36" s="1637" t="s">
        <v>415</v>
      </c>
      <c r="M36" s="1643" t="s">
        <v>220</v>
      </c>
      <c r="N36" s="1647">
        <v>85</v>
      </c>
      <c r="O36" s="1647">
        <v>85</v>
      </c>
      <c r="P36" s="1637" t="s">
        <v>3544</v>
      </c>
    </row>
    <row r="37" spans="1:16" s="425" customFormat="1" ht="24.75" customHeight="1">
      <c r="A37" s="1666"/>
      <c r="B37" s="1668"/>
      <c r="C37" s="1670"/>
      <c r="D37" s="724" t="s">
        <v>668</v>
      </c>
      <c r="E37" s="701">
        <v>22.96</v>
      </c>
      <c r="F37" s="701">
        <v>4.8620000000000001</v>
      </c>
      <c r="G37" s="701">
        <v>4.4870000000000001</v>
      </c>
      <c r="H37" s="701">
        <f>H41</f>
        <v>28.51</v>
      </c>
      <c r="I37" s="702">
        <f t="shared" si="3"/>
        <v>0.92287124640065821</v>
      </c>
      <c r="J37" s="1658"/>
      <c r="K37" s="1642"/>
      <c r="L37" s="1638"/>
      <c r="M37" s="1644"/>
      <c r="N37" s="1648"/>
      <c r="O37" s="1648"/>
      <c r="P37" s="1638"/>
    </row>
    <row r="38" spans="1:16" s="425" customFormat="1" ht="29.25" customHeight="1">
      <c r="A38" s="1666"/>
      <c r="B38" s="1668"/>
      <c r="C38" s="1670"/>
      <c r="D38" s="724" t="s">
        <v>1324</v>
      </c>
      <c r="E38" s="701">
        <v>0.626</v>
      </c>
      <c r="F38" s="701">
        <v>0.626</v>
      </c>
      <c r="G38" s="701">
        <v>0.626</v>
      </c>
      <c r="H38" s="701">
        <f>H43</f>
        <v>0</v>
      </c>
      <c r="I38" s="702">
        <f t="shared" si="3"/>
        <v>1</v>
      </c>
      <c r="J38" s="1658"/>
      <c r="K38" s="1642"/>
      <c r="L38" s="1638"/>
      <c r="M38" s="1644"/>
      <c r="N38" s="1648"/>
      <c r="O38" s="1648"/>
      <c r="P38" s="1638"/>
    </row>
    <row r="39" spans="1:16" s="425" customFormat="1" ht="27" customHeight="1">
      <c r="A39" s="1671"/>
      <c r="B39" s="1672"/>
      <c r="C39" s="1675"/>
      <c r="D39" s="727" t="s">
        <v>1321</v>
      </c>
      <c r="E39" s="706">
        <f>SUM(E36:E38)</f>
        <v>43.585999999999999</v>
      </c>
      <c r="F39" s="706">
        <f>SUM(F36:F38)</f>
        <v>25.488000000000003</v>
      </c>
      <c r="G39" s="706">
        <f>SUM(G36:G38)</f>
        <v>25.113000000000003</v>
      </c>
      <c r="H39" s="706">
        <f>SUM(H36:H38)</f>
        <v>48.510000000000005</v>
      </c>
      <c r="I39" s="707">
        <f t="shared" si="3"/>
        <v>0.98528719397363462</v>
      </c>
      <c r="J39" s="1664"/>
      <c r="K39" s="1641"/>
      <c r="L39" s="1639"/>
      <c r="M39" s="1645"/>
      <c r="N39" s="1649"/>
      <c r="O39" s="1649"/>
      <c r="P39" s="1639"/>
    </row>
    <row r="40" spans="1:16" s="425" customFormat="1" ht="20.149999999999999" hidden="1" customHeight="1">
      <c r="A40" s="1665"/>
      <c r="B40" s="1744" t="s">
        <v>715</v>
      </c>
      <c r="C40" s="1746">
        <v>188711925</v>
      </c>
      <c r="D40" s="738" t="s">
        <v>1326</v>
      </c>
      <c r="E40" s="464"/>
      <c r="F40" s="464"/>
      <c r="G40" s="464"/>
      <c r="H40" s="464">
        <v>0</v>
      </c>
      <c r="I40" s="464"/>
      <c r="J40" s="719"/>
      <c r="K40" s="1493"/>
      <c r="L40" s="720"/>
      <c r="M40" s="464"/>
      <c r="N40" s="464"/>
      <c r="O40" s="464"/>
      <c r="P40" s="720"/>
    </row>
    <row r="41" spans="1:16" s="425" customFormat="1" ht="48.75" hidden="1" customHeight="1">
      <c r="A41" s="1671"/>
      <c r="B41" s="1745"/>
      <c r="C41" s="1747"/>
      <c r="D41" s="738" t="s">
        <v>668</v>
      </c>
      <c r="E41" s="464"/>
      <c r="F41" s="464"/>
      <c r="G41" s="464"/>
      <c r="H41" s="464">
        <v>28.51</v>
      </c>
      <c r="I41" s="464"/>
      <c r="J41" s="719"/>
      <c r="K41" s="1493"/>
      <c r="L41" s="720"/>
      <c r="M41" s="464"/>
      <c r="N41" s="464"/>
      <c r="O41" s="464"/>
      <c r="P41" s="720"/>
    </row>
    <row r="42" spans="1:16" s="425" customFormat="1" ht="26.5" hidden="1" customHeight="1">
      <c r="A42" s="1665"/>
      <c r="B42" s="1744" t="s">
        <v>1327</v>
      </c>
      <c r="C42" s="1746">
        <v>190243519</v>
      </c>
      <c r="D42" s="738" t="s">
        <v>668</v>
      </c>
      <c r="E42" s="464"/>
      <c r="F42" s="464"/>
      <c r="G42" s="464"/>
      <c r="H42" s="464"/>
      <c r="I42" s="719"/>
      <c r="J42" s="719"/>
      <c r="K42" s="1494"/>
      <c r="L42" s="720"/>
      <c r="M42" s="719"/>
      <c r="N42" s="719"/>
      <c r="O42" s="719"/>
      <c r="P42" s="720"/>
    </row>
    <row r="43" spans="1:16" s="425" customFormat="1" ht="40.5" hidden="1" customHeight="1">
      <c r="A43" s="1671"/>
      <c r="B43" s="1745"/>
      <c r="C43" s="1747"/>
      <c r="D43" s="738" t="s">
        <v>1324</v>
      </c>
      <c r="E43" s="464"/>
      <c r="F43" s="464">
        <v>0.626</v>
      </c>
      <c r="G43" s="464">
        <v>0.626</v>
      </c>
      <c r="H43" s="534"/>
      <c r="I43" s="534"/>
      <c r="J43" s="719"/>
      <c r="K43" s="1493"/>
      <c r="L43" s="720"/>
      <c r="M43" s="464"/>
      <c r="N43" s="464"/>
      <c r="O43" s="464"/>
      <c r="P43" s="720"/>
    </row>
    <row r="44" spans="1:16" s="425" customFormat="1" ht="31.5" customHeight="1">
      <c r="A44" s="1665" t="s">
        <v>2694</v>
      </c>
      <c r="B44" s="1667" t="s">
        <v>840</v>
      </c>
      <c r="C44" s="1669">
        <v>188711925</v>
      </c>
      <c r="D44" s="724" t="s">
        <v>1326</v>
      </c>
      <c r="E44" s="734">
        <v>25.3</v>
      </c>
      <c r="F44" s="734">
        <v>25.3</v>
      </c>
      <c r="G44" s="734">
        <v>25.3</v>
      </c>
      <c r="H44" s="734">
        <v>25.8</v>
      </c>
      <c r="I44" s="702">
        <f t="shared" ref="I44:I62" si="6">G44/F44</f>
        <v>1</v>
      </c>
      <c r="J44" s="1658" t="s">
        <v>2199</v>
      </c>
      <c r="K44" s="1640" t="s">
        <v>3610</v>
      </c>
      <c r="L44" s="1637" t="s">
        <v>386</v>
      </c>
      <c r="M44" s="1643" t="s">
        <v>479</v>
      </c>
      <c r="N44" s="1647">
        <v>900</v>
      </c>
      <c r="O44" s="1647">
        <v>892</v>
      </c>
      <c r="P44" s="1637" t="s">
        <v>3545</v>
      </c>
    </row>
    <row r="45" spans="1:16" s="425" customFormat="1" ht="37.5" customHeight="1">
      <c r="A45" s="1666"/>
      <c r="B45" s="1668"/>
      <c r="C45" s="1670"/>
      <c r="D45" s="724" t="s">
        <v>668</v>
      </c>
      <c r="E45" s="701">
        <v>38.07</v>
      </c>
      <c r="F45" s="701">
        <v>39.494999999999997</v>
      </c>
      <c r="G45" s="701">
        <v>35.073</v>
      </c>
      <c r="H45" s="701">
        <v>41.85</v>
      </c>
      <c r="I45" s="702">
        <f t="shared" si="6"/>
        <v>0.88803646031143191</v>
      </c>
      <c r="J45" s="1658"/>
      <c r="K45" s="1642"/>
      <c r="L45" s="1638"/>
      <c r="M45" s="1644"/>
      <c r="N45" s="1648"/>
      <c r="O45" s="1648"/>
      <c r="P45" s="1638"/>
    </row>
    <row r="46" spans="1:16" s="425" customFormat="1" ht="29.25" customHeight="1">
      <c r="A46" s="1671"/>
      <c r="B46" s="1672"/>
      <c r="C46" s="736"/>
      <c r="D46" s="739" t="s">
        <v>1321</v>
      </c>
      <c r="E46" s="706">
        <f>SUM(E44:E45)</f>
        <v>63.370000000000005</v>
      </c>
      <c r="F46" s="706">
        <f>SUM(F44:F45)</f>
        <v>64.795000000000002</v>
      </c>
      <c r="G46" s="706">
        <f>SUM(G44:G45)</f>
        <v>60.373000000000005</v>
      </c>
      <c r="H46" s="706">
        <f t="shared" ref="H46" si="7">SUM(H44:H45)</f>
        <v>67.650000000000006</v>
      </c>
      <c r="I46" s="707">
        <f t="shared" si="6"/>
        <v>0.93175399336368547</v>
      </c>
      <c r="J46" s="1658"/>
      <c r="K46" s="1641"/>
      <c r="L46" s="1639"/>
      <c r="M46" s="1645"/>
      <c r="N46" s="1649"/>
      <c r="O46" s="1649"/>
      <c r="P46" s="1639"/>
    </row>
    <row r="47" spans="1:16" s="425" customFormat="1" ht="30.75" customHeight="1">
      <c r="A47" s="1665" t="s">
        <v>2693</v>
      </c>
      <c r="B47" s="1667" t="s">
        <v>417</v>
      </c>
      <c r="C47" s="1669">
        <v>188711925</v>
      </c>
      <c r="D47" s="724" t="s">
        <v>1326</v>
      </c>
      <c r="E47" s="701">
        <v>4.42</v>
      </c>
      <c r="F47" s="701">
        <v>3.84</v>
      </c>
      <c r="G47" s="701">
        <v>3.7429999999999999</v>
      </c>
      <c r="H47" s="701">
        <v>4.9249999999999998</v>
      </c>
      <c r="I47" s="702">
        <f t="shared" si="6"/>
        <v>0.97473958333333333</v>
      </c>
      <c r="J47" s="1658"/>
      <c r="K47" s="1640" t="s">
        <v>3547</v>
      </c>
      <c r="L47" s="1637" t="s">
        <v>387</v>
      </c>
      <c r="M47" s="1643" t="s">
        <v>2907</v>
      </c>
      <c r="N47" s="1647">
        <v>100</v>
      </c>
      <c r="O47" s="1647">
        <v>93</v>
      </c>
      <c r="P47" s="1637" t="s">
        <v>3545</v>
      </c>
    </row>
    <row r="48" spans="1:16" s="425" customFormat="1" ht="25.5" customHeight="1">
      <c r="A48" s="1666"/>
      <c r="B48" s="1668"/>
      <c r="C48" s="1670"/>
      <c r="D48" s="724" t="s">
        <v>668</v>
      </c>
      <c r="E48" s="701">
        <v>188.15</v>
      </c>
      <c r="F48" s="701">
        <v>200.27600000000001</v>
      </c>
      <c r="G48" s="701">
        <v>185.48699999999999</v>
      </c>
      <c r="H48" s="701">
        <v>210.76</v>
      </c>
      <c r="I48" s="702">
        <f t="shared" si="6"/>
        <v>0.92615690347320689</v>
      </c>
      <c r="J48" s="1658"/>
      <c r="K48" s="1642"/>
      <c r="L48" s="1638"/>
      <c r="M48" s="1644"/>
      <c r="N48" s="1648"/>
      <c r="O48" s="1648"/>
      <c r="P48" s="1638"/>
    </row>
    <row r="49" spans="1:16" s="425" customFormat="1" ht="25.5" customHeight="1">
      <c r="A49" s="1666"/>
      <c r="B49" s="1668"/>
      <c r="C49" s="1670"/>
      <c r="D49" s="724" t="s">
        <v>1349</v>
      </c>
      <c r="E49" s="701"/>
      <c r="F49" s="701">
        <v>2.714</v>
      </c>
      <c r="G49" s="701">
        <v>2.68</v>
      </c>
      <c r="H49" s="701"/>
      <c r="I49" s="702">
        <f t="shared" si="6"/>
        <v>0.98747236551215922</v>
      </c>
      <c r="J49" s="1658"/>
      <c r="K49" s="1642"/>
      <c r="L49" s="1638"/>
      <c r="M49" s="1644"/>
      <c r="N49" s="1648"/>
      <c r="O49" s="1648"/>
      <c r="P49" s="1638"/>
    </row>
    <row r="50" spans="1:16" s="425" customFormat="1" ht="25.5" hidden="1" customHeight="1">
      <c r="A50" s="1666"/>
      <c r="B50" s="1668"/>
      <c r="C50" s="1670"/>
      <c r="D50" s="740" t="s">
        <v>2854</v>
      </c>
      <c r="E50" s="701"/>
      <c r="F50" s="701"/>
      <c r="G50" s="701">
        <v>1.2E-2</v>
      </c>
      <c r="H50" s="701"/>
      <c r="I50" s="702" t="e">
        <f t="shared" si="6"/>
        <v>#DIV/0!</v>
      </c>
      <c r="J50" s="1658"/>
      <c r="K50" s="1642"/>
      <c r="L50" s="1638"/>
      <c r="M50" s="1644"/>
      <c r="N50" s="1648"/>
      <c r="O50" s="1648"/>
      <c r="P50" s="1638"/>
    </row>
    <row r="51" spans="1:16" s="425" customFormat="1" ht="32.25" customHeight="1">
      <c r="A51" s="1671"/>
      <c r="B51" s="1672"/>
      <c r="C51" s="1675"/>
      <c r="D51" s="727" t="s">
        <v>1321</v>
      </c>
      <c r="E51" s="706">
        <f>SUM(E47:E48)</f>
        <v>192.57</v>
      </c>
      <c r="F51" s="706">
        <f>SUM(F47:F49)</f>
        <v>206.83</v>
      </c>
      <c r="G51" s="706">
        <f>SUM(G47:G49)</f>
        <v>191.91</v>
      </c>
      <c r="H51" s="706">
        <f>H47+H48</f>
        <v>215.685</v>
      </c>
      <c r="I51" s="707">
        <f t="shared" si="6"/>
        <v>0.92786346274718356</v>
      </c>
      <c r="J51" s="1664"/>
      <c r="K51" s="1641"/>
      <c r="L51" s="1639"/>
      <c r="M51" s="1645"/>
      <c r="N51" s="1649"/>
      <c r="O51" s="1649"/>
      <c r="P51" s="1639"/>
    </row>
    <row r="52" spans="1:16" s="425" customFormat="1" ht="27.75" customHeight="1">
      <c r="A52" s="1665" t="s">
        <v>2692</v>
      </c>
      <c r="B52" s="1667" t="s">
        <v>524</v>
      </c>
      <c r="C52" s="1669">
        <v>188711925</v>
      </c>
      <c r="D52" s="724" t="s">
        <v>1326</v>
      </c>
      <c r="E52" s="701">
        <v>17.899999999999999</v>
      </c>
      <c r="F52" s="701">
        <v>19.7</v>
      </c>
      <c r="G52" s="701">
        <v>19.341999999999999</v>
      </c>
      <c r="H52" s="701">
        <v>18.7</v>
      </c>
      <c r="I52" s="725">
        <f t="shared" si="6"/>
        <v>0.98182741116751271</v>
      </c>
      <c r="J52" s="1657" t="s">
        <v>2202</v>
      </c>
      <c r="K52" s="1640" t="s">
        <v>2908</v>
      </c>
      <c r="L52" s="1637" t="s">
        <v>390</v>
      </c>
      <c r="M52" s="1643" t="s">
        <v>3753</v>
      </c>
      <c r="N52" s="1647">
        <v>95</v>
      </c>
      <c r="O52" s="1647">
        <v>100</v>
      </c>
      <c r="P52" s="1637" t="s">
        <v>3548</v>
      </c>
    </row>
    <row r="53" spans="1:16" s="425" customFormat="1" ht="30" customHeight="1">
      <c r="A53" s="1671"/>
      <c r="B53" s="1672"/>
      <c r="C53" s="1675"/>
      <c r="D53" s="727" t="s">
        <v>1321</v>
      </c>
      <c r="E53" s="706">
        <f>E52</f>
        <v>17.899999999999999</v>
      </c>
      <c r="F53" s="706">
        <f>F52</f>
        <v>19.7</v>
      </c>
      <c r="G53" s="706">
        <f>G52</f>
        <v>19.341999999999999</v>
      </c>
      <c r="H53" s="706">
        <f>H52</f>
        <v>18.7</v>
      </c>
      <c r="I53" s="707">
        <f t="shared" si="6"/>
        <v>0.98182741116751271</v>
      </c>
      <c r="J53" s="1664"/>
      <c r="K53" s="1641"/>
      <c r="L53" s="1639"/>
      <c r="M53" s="1645"/>
      <c r="N53" s="1649"/>
      <c r="O53" s="1649"/>
      <c r="P53" s="1639"/>
    </row>
    <row r="54" spans="1:16" s="425" customFormat="1" ht="30.75" customHeight="1">
      <c r="A54" s="1665" t="s">
        <v>2691</v>
      </c>
      <c r="B54" s="1667" t="s">
        <v>971</v>
      </c>
      <c r="C54" s="1669">
        <v>188711925</v>
      </c>
      <c r="D54" s="724" t="s">
        <v>1326</v>
      </c>
      <c r="E54" s="701">
        <v>2.2000000000000002</v>
      </c>
      <c r="F54" s="701">
        <v>2.2000000000000002</v>
      </c>
      <c r="G54" s="701">
        <v>2.2000000000000002</v>
      </c>
      <c r="H54" s="701">
        <v>2.2000000000000002</v>
      </c>
      <c r="I54" s="725">
        <f t="shared" si="6"/>
        <v>1</v>
      </c>
      <c r="J54" s="1657" t="s">
        <v>2199</v>
      </c>
      <c r="K54" s="1640" t="s">
        <v>2909</v>
      </c>
      <c r="L54" s="1637" t="s">
        <v>650</v>
      </c>
      <c r="M54" s="1643" t="s">
        <v>2890</v>
      </c>
      <c r="N54" s="1717">
        <v>46.9</v>
      </c>
      <c r="O54" s="1717">
        <v>46.9</v>
      </c>
      <c r="P54" s="1637" t="s">
        <v>3548</v>
      </c>
    </row>
    <row r="55" spans="1:16" s="425" customFormat="1" ht="29.25" customHeight="1">
      <c r="A55" s="1671"/>
      <c r="B55" s="1672"/>
      <c r="C55" s="1675"/>
      <c r="D55" s="727" t="s">
        <v>1321</v>
      </c>
      <c r="E55" s="706">
        <f>E54</f>
        <v>2.2000000000000002</v>
      </c>
      <c r="F55" s="706">
        <f>F54</f>
        <v>2.2000000000000002</v>
      </c>
      <c r="G55" s="706">
        <f>G54</f>
        <v>2.2000000000000002</v>
      </c>
      <c r="H55" s="706">
        <f>H54</f>
        <v>2.2000000000000002</v>
      </c>
      <c r="I55" s="707">
        <f t="shared" si="6"/>
        <v>1</v>
      </c>
      <c r="J55" s="1658"/>
      <c r="K55" s="1641"/>
      <c r="L55" s="1639"/>
      <c r="M55" s="1645"/>
      <c r="N55" s="1718"/>
      <c r="O55" s="1718"/>
      <c r="P55" s="1639"/>
    </row>
    <row r="56" spans="1:16" s="425" customFormat="1" ht="30" customHeight="1">
      <c r="A56" s="1665" t="s">
        <v>2690</v>
      </c>
      <c r="B56" s="1667" t="s">
        <v>525</v>
      </c>
      <c r="C56" s="1669">
        <v>188711925</v>
      </c>
      <c r="D56" s="724" t="s">
        <v>1326</v>
      </c>
      <c r="E56" s="701">
        <v>0.4</v>
      </c>
      <c r="F56" s="701">
        <v>0.4</v>
      </c>
      <c r="G56" s="701">
        <v>0.4</v>
      </c>
      <c r="H56" s="701">
        <v>0.4</v>
      </c>
      <c r="I56" s="725">
        <f t="shared" si="6"/>
        <v>1</v>
      </c>
      <c r="J56" s="1658"/>
      <c r="K56" s="1640" t="s">
        <v>2910</v>
      </c>
      <c r="L56" s="1637" t="s">
        <v>520</v>
      </c>
      <c r="M56" s="1643" t="s">
        <v>2912</v>
      </c>
      <c r="N56" s="1647">
        <v>100</v>
      </c>
      <c r="O56" s="1647">
        <v>100</v>
      </c>
      <c r="P56" s="1637" t="s">
        <v>3548</v>
      </c>
    </row>
    <row r="57" spans="1:16" s="425" customFormat="1" ht="31.5" customHeight="1">
      <c r="A57" s="1671"/>
      <c r="B57" s="1672"/>
      <c r="C57" s="1675"/>
      <c r="D57" s="727" t="s">
        <v>1321</v>
      </c>
      <c r="E57" s="706">
        <f>E56</f>
        <v>0.4</v>
      </c>
      <c r="F57" s="706">
        <f>F56</f>
        <v>0.4</v>
      </c>
      <c r="G57" s="706">
        <f>G56</f>
        <v>0.4</v>
      </c>
      <c r="H57" s="706">
        <f>H56</f>
        <v>0.4</v>
      </c>
      <c r="I57" s="707">
        <f t="shared" si="6"/>
        <v>1</v>
      </c>
      <c r="J57" s="1658"/>
      <c r="K57" s="1641"/>
      <c r="L57" s="1639"/>
      <c r="M57" s="1645"/>
      <c r="N57" s="1649"/>
      <c r="O57" s="1649"/>
      <c r="P57" s="1639"/>
    </row>
    <row r="58" spans="1:16" s="425" customFormat="1" ht="26.25" customHeight="1">
      <c r="A58" s="1665" t="s">
        <v>2689</v>
      </c>
      <c r="B58" s="1667" t="s">
        <v>970</v>
      </c>
      <c r="C58" s="1669">
        <v>188711925</v>
      </c>
      <c r="D58" s="724" t="s">
        <v>1326</v>
      </c>
      <c r="E58" s="701">
        <v>0.1</v>
      </c>
      <c r="F58" s="701">
        <v>0.1</v>
      </c>
      <c r="G58" s="701">
        <v>0.1</v>
      </c>
      <c r="H58" s="701">
        <v>0.1</v>
      </c>
      <c r="I58" s="725">
        <f t="shared" si="6"/>
        <v>1</v>
      </c>
      <c r="J58" s="1658"/>
      <c r="K58" s="1640" t="s">
        <v>2911</v>
      </c>
      <c r="L58" s="1637" t="s">
        <v>3480</v>
      </c>
      <c r="M58" s="1643" t="s">
        <v>2913</v>
      </c>
      <c r="N58" s="1647">
        <v>100</v>
      </c>
      <c r="O58" s="1647">
        <v>100</v>
      </c>
      <c r="P58" s="1637" t="s">
        <v>3548</v>
      </c>
    </row>
    <row r="59" spans="1:16" s="425" customFormat="1" ht="33" customHeight="1">
      <c r="A59" s="1671"/>
      <c r="B59" s="1672"/>
      <c r="C59" s="1675"/>
      <c r="D59" s="727" t="s">
        <v>1321</v>
      </c>
      <c r="E59" s="706">
        <f>E58</f>
        <v>0.1</v>
      </c>
      <c r="F59" s="706">
        <f>F58</f>
        <v>0.1</v>
      </c>
      <c r="G59" s="706">
        <f>G58</f>
        <v>0.1</v>
      </c>
      <c r="H59" s="706">
        <f>H58</f>
        <v>0.1</v>
      </c>
      <c r="I59" s="707">
        <f t="shared" si="6"/>
        <v>1</v>
      </c>
      <c r="J59" s="1658"/>
      <c r="K59" s="1641"/>
      <c r="L59" s="1639"/>
      <c r="M59" s="1645"/>
      <c r="N59" s="1649"/>
      <c r="O59" s="1649"/>
      <c r="P59" s="1639"/>
    </row>
    <row r="60" spans="1:16" s="425" customFormat="1" ht="27.75" customHeight="1">
      <c r="A60" s="1665" t="s">
        <v>2823</v>
      </c>
      <c r="B60" s="1667" t="s">
        <v>860</v>
      </c>
      <c r="C60" s="1669">
        <v>188711925</v>
      </c>
      <c r="D60" s="724" t="s">
        <v>1326</v>
      </c>
      <c r="E60" s="701">
        <v>16.39</v>
      </c>
      <c r="F60" s="701">
        <v>14.691000000000001</v>
      </c>
      <c r="G60" s="701">
        <v>13.613</v>
      </c>
      <c r="H60" s="701">
        <v>17.64</v>
      </c>
      <c r="I60" s="702">
        <f t="shared" si="6"/>
        <v>0.92662174120209639</v>
      </c>
      <c r="J60" s="1658"/>
      <c r="K60" s="1640" t="s">
        <v>3551</v>
      </c>
      <c r="L60" s="1637" t="s">
        <v>3481</v>
      </c>
      <c r="M60" s="1643" t="s">
        <v>2914</v>
      </c>
      <c r="N60" s="1647">
        <v>100</v>
      </c>
      <c r="O60" s="1647">
        <v>93</v>
      </c>
      <c r="P60" s="1637" t="s">
        <v>3545</v>
      </c>
    </row>
    <row r="61" spans="1:16" s="425" customFormat="1" ht="27.75" customHeight="1">
      <c r="A61" s="1666"/>
      <c r="B61" s="1668"/>
      <c r="C61" s="1670"/>
      <c r="D61" s="724" t="s">
        <v>1349</v>
      </c>
      <c r="E61" s="701"/>
      <c r="F61" s="701">
        <v>1.462</v>
      </c>
      <c r="G61" s="701">
        <v>1.413</v>
      </c>
      <c r="H61" s="741"/>
      <c r="I61" s="702">
        <f t="shared" si="6"/>
        <v>0.96648426812585508</v>
      </c>
      <c r="J61" s="1658"/>
      <c r="K61" s="1642"/>
      <c r="L61" s="1638"/>
      <c r="M61" s="1644"/>
      <c r="N61" s="1648"/>
      <c r="O61" s="1648"/>
      <c r="P61" s="1638"/>
    </row>
    <row r="62" spans="1:16" s="425" customFormat="1" ht="29.25" customHeight="1">
      <c r="A62" s="1671"/>
      <c r="B62" s="1672"/>
      <c r="C62" s="1675"/>
      <c r="D62" s="727" t="s">
        <v>1321</v>
      </c>
      <c r="E62" s="706">
        <f>E60</f>
        <v>16.39</v>
      </c>
      <c r="F62" s="706">
        <f>F60+F61</f>
        <v>16.153000000000002</v>
      </c>
      <c r="G62" s="706">
        <f>G60+G61</f>
        <v>15.026</v>
      </c>
      <c r="H62" s="706">
        <f>H60+H61</f>
        <v>17.64</v>
      </c>
      <c r="I62" s="707">
        <f t="shared" si="6"/>
        <v>0.93022967869745543</v>
      </c>
      <c r="J62" s="1658"/>
      <c r="K62" s="1641"/>
      <c r="L62" s="1639"/>
      <c r="M62" s="1645"/>
      <c r="N62" s="1649"/>
      <c r="O62" s="1649"/>
      <c r="P62" s="1639"/>
    </row>
    <row r="63" spans="1:16" s="425" customFormat="1" ht="27.75" hidden="1" customHeight="1">
      <c r="A63" s="1665" t="s">
        <v>2688</v>
      </c>
      <c r="B63" s="1667" t="s">
        <v>2825</v>
      </c>
      <c r="C63" s="1669">
        <v>188711925</v>
      </c>
      <c r="D63" s="724" t="s">
        <v>1349</v>
      </c>
      <c r="E63" s="701"/>
      <c r="F63" s="701"/>
      <c r="G63" s="701"/>
      <c r="H63" s="701">
        <v>24.419</v>
      </c>
      <c r="I63" s="742"/>
      <c r="J63" s="1658"/>
      <c r="K63" s="1640" t="s">
        <v>2826</v>
      </c>
      <c r="L63" s="1637" t="s">
        <v>2827</v>
      </c>
      <c r="M63" s="644"/>
      <c r="N63" s="644"/>
      <c r="O63" s="644"/>
      <c r="P63" s="1637"/>
    </row>
    <row r="64" spans="1:16" s="425" customFormat="1" ht="27.75" hidden="1" customHeight="1">
      <c r="A64" s="1666"/>
      <c r="B64" s="1668"/>
      <c r="C64" s="1670"/>
      <c r="D64" s="724" t="s">
        <v>668</v>
      </c>
      <c r="E64" s="701"/>
      <c r="F64" s="701"/>
      <c r="G64" s="701"/>
      <c r="H64" s="741"/>
      <c r="I64" s="742"/>
      <c r="J64" s="1658"/>
      <c r="K64" s="1642"/>
      <c r="L64" s="1638"/>
      <c r="M64" s="648"/>
      <c r="N64" s="648"/>
      <c r="O64" s="648"/>
      <c r="P64" s="1638"/>
    </row>
    <row r="65" spans="1:16" s="425" customFormat="1" ht="29.25" hidden="1" customHeight="1">
      <c r="A65" s="1671"/>
      <c r="B65" s="1672"/>
      <c r="C65" s="1675"/>
      <c r="D65" s="727" t="s">
        <v>1321</v>
      </c>
      <c r="E65" s="706"/>
      <c r="F65" s="706"/>
      <c r="G65" s="706"/>
      <c r="H65" s="706">
        <f>H63</f>
        <v>24.419</v>
      </c>
      <c r="I65" s="706"/>
      <c r="J65" s="1658"/>
      <c r="K65" s="1641"/>
      <c r="L65" s="1639"/>
      <c r="M65" s="642"/>
      <c r="N65" s="642"/>
      <c r="O65" s="642"/>
      <c r="P65" s="1639"/>
    </row>
    <row r="66" spans="1:16" s="425" customFormat="1" ht="30.65" customHeight="1">
      <c r="A66" s="1665" t="s">
        <v>2687</v>
      </c>
      <c r="B66" s="1667" t="s">
        <v>972</v>
      </c>
      <c r="C66" s="1669">
        <v>188711925</v>
      </c>
      <c r="D66" s="724" t="s">
        <v>1326</v>
      </c>
      <c r="E66" s="701">
        <v>13.1</v>
      </c>
      <c r="F66" s="701">
        <v>29.93</v>
      </c>
      <c r="G66" s="701">
        <v>29.765000000000001</v>
      </c>
      <c r="H66" s="701">
        <v>28.43</v>
      </c>
      <c r="I66" s="725">
        <f t="shared" ref="I66:I78" si="8">G66/F66</f>
        <v>0.99448713665218846</v>
      </c>
      <c r="J66" s="1658"/>
      <c r="K66" s="1640" t="s">
        <v>3552</v>
      </c>
      <c r="L66" s="1637" t="s">
        <v>3482</v>
      </c>
      <c r="M66" s="1643" t="s">
        <v>2915</v>
      </c>
      <c r="N66" s="1647">
        <v>100</v>
      </c>
      <c r="O66" s="1647">
        <v>99</v>
      </c>
      <c r="P66" s="1637" t="s">
        <v>3545</v>
      </c>
    </row>
    <row r="67" spans="1:16" s="425" customFormat="1" ht="32.25" customHeight="1">
      <c r="A67" s="1671"/>
      <c r="B67" s="1672"/>
      <c r="C67" s="1675"/>
      <c r="D67" s="727" t="s">
        <v>1321</v>
      </c>
      <c r="E67" s="706">
        <f>E66</f>
        <v>13.1</v>
      </c>
      <c r="F67" s="706">
        <f>F66</f>
        <v>29.93</v>
      </c>
      <c r="G67" s="706">
        <f>G66</f>
        <v>29.765000000000001</v>
      </c>
      <c r="H67" s="706">
        <f>H66</f>
        <v>28.43</v>
      </c>
      <c r="I67" s="707">
        <f t="shared" si="8"/>
        <v>0.99448713665218846</v>
      </c>
      <c r="J67" s="1658"/>
      <c r="K67" s="1641"/>
      <c r="L67" s="1639"/>
      <c r="M67" s="1645"/>
      <c r="N67" s="1649"/>
      <c r="O67" s="1649"/>
      <c r="P67" s="1639"/>
    </row>
    <row r="68" spans="1:16" s="425" customFormat="1" ht="33.75" customHeight="1">
      <c r="A68" s="1665" t="s">
        <v>2686</v>
      </c>
      <c r="B68" s="1667" t="s">
        <v>802</v>
      </c>
      <c r="C68" s="1669">
        <v>188711925</v>
      </c>
      <c r="D68" s="724" t="s">
        <v>1326</v>
      </c>
      <c r="E68" s="701">
        <v>13.6</v>
      </c>
      <c r="F68" s="701">
        <v>13.6</v>
      </c>
      <c r="G68" s="701">
        <v>13.6</v>
      </c>
      <c r="H68" s="701">
        <v>16</v>
      </c>
      <c r="I68" s="702">
        <f t="shared" si="8"/>
        <v>1</v>
      </c>
      <c r="J68" s="1658"/>
      <c r="K68" s="1640" t="s">
        <v>3553</v>
      </c>
      <c r="L68" s="1637" t="s">
        <v>3483</v>
      </c>
      <c r="M68" s="1643" t="s">
        <v>2916</v>
      </c>
      <c r="N68" s="1647">
        <v>100</v>
      </c>
      <c r="O68" s="1647">
        <v>97</v>
      </c>
      <c r="P68" s="1637" t="s">
        <v>3545</v>
      </c>
    </row>
    <row r="69" spans="1:16" s="425" customFormat="1" ht="34.200000000000003" customHeight="1">
      <c r="A69" s="1666"/>
      <c r="B69" s="1668"/>
      <c r="C69" s="1670"/>
      <c r="D69" s="724" t="s">
        <v>668</v>
      </c>
      <c r="E69" s="643">
        <v>0.68</v>
      </c>
      <c r="F69" s="643">
        <v>0.68</v>
      </c>
      <c r="G69" s="643">
        <v>0.313</v>
      </c>
      <c r="H69" s="643">
        <v>0.47</v>
      </c>
      <c r="I69" s="702">
        <f t="shared" si="8"/>
        <v>0.4602941176470588</v>
      </c>
      <c r="J69" s="1658"/>
      <c r="K69" s="1642"/>
      <c r="L69" s="1638"/>
      <c r="M69" s="1644"/>
      <c r="N69" s="1648"/>
      <c r="O69" s="1648"/>
      <c r="P69" s="1638"/>
    </row>
    <row r="70" spans="1:16" s="425" customFormat="1" ht="33.75" customHeight="1">
      <c r="A70" s="1671"/>
      <c r="B70" s="1672"/>
      <c r="C70" s="1675"/>
      <c r="D70" s="727" t="s">
        <v>1321</v>
      </c>
      <c r="E70" s="706">
        <f>SUM(E68:E69)</f>
        <v>14.28</v>
      </c>
      <c r="F70" s="706">
        <f>SUM(F68:F69)</f>
        <v>14.28</v>
      </c>
      <c r="G70" s="706">
        <f>SUM(G68:G69)</f>
        <v>13.913</v>
      </c>
      <c r="H70" s="706">
        <f>H68+H69</f>
        <v>16.47</v>
      </c>
      <c r="I70" s="707">
        <f t="shared" si="8"/>
        <v>0.97429971988795527</v>
      </c>
      <c r="J70" s="1658"/>
      <c r="K70" s="1641"/>
      <c r="L70" s="1639"/>
      <c r="M70" s="1645"/>
      <c r="N70" s="1649"/>
      <c r="O70" s="1649"/>
      <c r="P70" s="1639"/>
    </row>
    <row r="71" spans="1:16" s="425" customFormat="1" ht="31.2" customHeight="1">
      <c r="A71" s="1665" t="s">
        <v>2685</v>
      </c>
      <c r="B71" s="1667" t="s">
        <v>577</v>
      </c>
      <c r="C71" s="1669">
        <v>188711925</v>
      </c>
      <c r="D71" s="724" t="s">
        <v>1326</v>
      </c>
      <c r="E71" s="701">
        <v>0.46</v>
      </c>
      <c r="F71" s="701">
        <v>0.27500000000000002</v>
      </c>
      <c r="G71" s="701">
        <v>0.152</v>
      </c>
      <c r="H71" s="701">
        <v>0.22</v>
      </c>
      <c r="I71" s="743">
        <f t="shared" si="8"/>
        <v>0.55272727272727262</v>
      </c>
      <c r="J71" s="1658"/>
      <c r="K71" s="1640" t="s">
        <v>3554</v>
      </c>
      <c r="L71" s="1637" t="s">
        <v>3484</v>
      </c>
      <c r="M71" s="1643" t="s">
        <v>2917</v>
      </c>
      <c r="N71" s="1647">
        <v>100</v>
      </c>
      <c r="O71" s="1647">
        <v>55</v>
      </c>
      <c r="P71" s="1637" t="s">
        <v>3545</v>
      </c>
    </row>
    <row r="72" spans="1:16" s="425" customFormat="1" ht="32.25" customHeight="1">
      <c r="A72" s="1671"/>
      <c r="B72" s="1672"/>
      <c r="C72" s="1675"/>
      <c r="D72" s="727" t="s">
        <v>1321</v>
      </c>
      <c r="E72" s="706">
        <f>E71</f>
        <v>0.46</v>
      </c>
      <c r="F72" s="706">
        <f>F71</f>
        <v>0.27500000000000002</v>
      </c>
      <c r="G72" s="706">
        <f>G71</f>
        <v>0.152</v>
      </c>
      <c r="H72" s="706">
        <f>H71</f>
        <v>0.22</v>
      </c>
      <c r="I72" s="707">
        <f t="shared" si="8"/>
        <v>0.55272727272727262</v>
      </c>
      <c r="J72" s="1664"/>
      <c r="K72" s="1641"/>
      <c r="L72" s="1639"/>
      <c r="M72" s="1645"/>
      <c r="N72" s="1649"/>
      <c r="O72" s="1649"/>
      <c r="P72" s="1639"/>
    </row>
    <row r="73" spans="1:16" s="425" customFormat="1" ht="30.65" customHeight="1">
      <c r="A73" s="1665" t="s">
        <v>2684</v>
      </c>
      <c r="B73" s="1667" t="s">
        <v>979</v>
      </c>
      <c r="C73" s="1669">
        <v>188711925</v>
      </c>
      <c r="D73" s="724" t="s">
        <v>1326</v>
      </c>
      <c r="E73" s="701">
        <v>15.3</v>
      </c>
      <c r="F73" s="701">
        <v>15.3</v>
      </c>
      <c r="G73" s="701">
        <v>14.693</v>
      </c>
      <c r="H73" s="701">
        <v>7.3</v>
      </c>
      <c r="I73" s="725">
        <f t="shared" si="8"/>
        <v>0.96032679738562088</v>
      </c>
      <c r="J73" s="1657" t="s">
        <v>2203</v>
      </c>
      <c r="K73" s="1640" t="s">
        <v>3555</v>
      </c>
      <c r="L73" s="1637" t="s">
        <v>3485</v>
      </c>
      <c r="M73" s="1643" t="s">
        <v>2918</v>
      </c>
      <c r="N73" s="1647">
        <v>100</v>
      </c>
      <c r="O73" s="1647">
        <v>96</v>
      </c>
      <c r="P73" s="1637" t="s">
        <v>3545</v>
      </c>
    </row>
    <row r="74" spans="1:16" s="425" customFormat="1" ht="37.5" customHeight="1">
      <c r="A74" s="1671"/>
      <c r="B74" s="1672"/>
      <c r="C74" s="1675"/>
      <c r="D74" s="727" t="s">
        <v>1321</v>
      </c>
      <c r="E74" s="706">
        <f>E73</f>
        <v>15.3</v>
      </c>
      <c r="F74" s="706">
        <f>F73</f>
        <v>15.3</v>
      </c>
      <c r="G74" s="706">
        <f>G73</f>
        <v>14.693</v>
      </c>
      <c r="H74" s="706">
        <f>H73</f>
        <v>7.3</v>
      </c>
      <c r="I74" s="707">
        <f t="shared" si="8"/>
        <v>0.96032679738562088</v>
      </c>
      <c r="J74" s="1658"/>
      <c r="K74" s="1641"/>
      <c r="L74" s="1639"/>
      <c r="M74" s="1645"/>
      <c r="N74" s="1649"/>
      <c r="O74" s="1649"/>
      <c r="P74" s="1639"/>
    </row>
    <row r="75" spans="1:16" s="425" customFormat="1" ht="27" customHeight="1">
      <c r="A75" s="1665" t="s">
        <v>2683</v>
      </c>
      <c r="B75" s="1667" t="s">
        <v>980</v>
      </c>
      <c r="C75" s="1669">
        <v>188711925</v>
      </c>
      <c r="D75" s="1719" t="s">
        <v>1326</v>
      </c>
      <c r="E75" s="701">
        <v>48.8</v>
      </c>
      <c r="F75" s="701">
        <v>38.6</v>
      </c>
      <c r="G75" s="701">
        <v>38.6</v>
      </c>
      <c r="H75" s="701">
        <v>39.5</v>
      </c>
      <c r="I75" s="702">
        <f t="shared" si="8"/>
        <v>1</v>
      </c>
      <c r="J75" s="1658"/>
      <c r="K75" s="1640" t="s">
        <v>2919</v>
      </c>
      <c r="L75" s="1637" t="s">
        <v>1336</v>
      </c>
      <c r="M75" s="1685" t="s">
        <v>2891</v>
      </c>
      <c r="N75" s="1650">
        <v>82</v>
      </c>
      <c r="O75" s="1650">
        <v>82</v>
      </c>
      <c r="P75" s="1637" t="s">
        <v>3548</v>
      </c>
    </row>
    <row r="76" spans="1:16" s="425" customFormat="1" ht="30" customHeight="1">
      <c r="A76" s="1666"/>
      <c r="B76" s="1668"/>
      <c r="C76" s="1670"/>
      <c r="D76" s="1720"/>
      <c r="E76" s="643">
        <v>12</v>
      </c>
      <c r="F76" s="643">
        <v>11.9</v>
      </c>
      <c r="G76" s="643">
        <v>11.875999999999999</v>
      </c>
      <c r="H76" s="643"/>
      <c r="I76" s="702">
        <f t="shared" si="8"/>
        <v>0.99798319327731089</v>
      </c>
      <c r="J76" s="1658"/>
      <c r="K76" s="1642"/>
      <c r="L76" s="1638"/>
      <c r="M76" s="1685"/>
      <c r="N76" s="1650"/>
      <c r="O76" s="1650"/>
      <c r="P76" s="1639"/>
    </row>
    <row r="77" spans="1:16" s="425" customFormat="1" ht="95.25" customHeight="1">
      <c r="A77" s="1671"/>
      <c r="B77" s="1672"/>
      <c r="C77" s="1675"/>
      <c r="D77" s="727" t="s">
        <v>1321</v>
      </c>
      <c r="E77" s="706">
        <f>E75</f>
        <v>48.8</v>
      </c>
      <c r="F77" s="706">
        <f>F75+F76</f>
        <v>50.5</v>
      </c>
      <c r="G77" s="706">
        <f>G75+G76</f>
        <v>50.475999999999999</v>
      </c>
      <c r="H77" s="706">
        <f>H75+H76</f>
        <v>39.5</v>
      </c>
      <c r="I77" s="707">
        <f t="shared" si="8"/>
        <v>0.99952475247524752</v>
      </c>
      <c r="J77" s="1664"/>
      <c r="K77" s="1641"/>
      <c r="L77" s="1639"/>
      <c r="M77" s="645" t="s">
        <v>2892</v>
      </c>
      <c r="N77" s="704">
        <v>100</v>
      </c>
      <c r="O77" s="704">
        <v>100</v>
      </c>
      <c r="P77" s="638" t="s">
        <v>3544</v>
      </c>
    </row>
    <row r="78" spans="1:16" s="425" customFormat="1" ht="27.75" customHeight="1">
      <c r="A78" s="1665" t="s">
        <v>2682</v>
      </c>
      <c r="B78" s="1667" t="s">
        <v>861</v>
      </c>
      <c r="C78" s="1669">
        <v>188711925</v>
      </c>
      <c r="D78" s="724" t="s">
        <v>1326</v>
      </c>
      <c r="E78" s="701">
        <v>3.25</v>
      </c>
      <c r="F78" s="701">
        <v>2.8490000000000002</v>
      </c>
      <c r="G78" s="701">
        <v>2.8490000000000002</v>
      </c>
      <c r="H78" s="701">
        <v>3.44</v>
      </c>
      <c r="I78" s="702">
        <f t="shared" si="8"/>
        <v>1</v>
      </c>
      <c r="J78" s="1657" t="s">
        <v>2199</v>
      </c>
      <c r="K78" s="1640" t="s">
        <v>2920</v>
      </c>
      <c r="L78" s="1637" t="s">
        <v>3486</v>
      </c>
      <c r="M78" s="1643" t="s">
        <v>2921</v>
      </c>
      <c r="N78" s="1647">
        <v>100</v>
      </c>
      <c r="O78" s="1647">
        <v>100</v>
      </c>
      <c r="P78" s="1637" t="s">
        <v>3544</v>
      </c>
    </row>
    <row r="79" spans="1:16" s="425" customFormat="1" ht="27" hidden="1" customHeight="1">
      <c r="A79" s="1666"/>
      <c r="B79" s="1668"/>
      <c r="C79" s="1670"/>
      <c r="D79" s="724" t="s">
        <v>668</v>
      </c>
      <c r="E79" s="701"/>
      <c r="F79" s="701"/>
      <c r="G79" s="701"/>
      <c r="H79" s="741"/>
      <c r="I79" s="745"/>
      <c r="J79" s="1658"/>
      <c r="K79" s="1642"/>
      <c r="L79" s="1638"/>
      <c r="M79" s="1644"/>
      <c r="N79" s="1648"/>
      <c r="O79" s="1648"/>
      <c r="P79" s="1638"/>
    </row>
    <row r="80" spans="1:16" s="425" customFormat="1" ht="29.25" customHeight="1">
      <c r="A80" s="1671"/>
      <c r="B80" s="1672"/>
      <c r="C80" s="1675"/>
      <c r="D80" s="727" t="s">
        <v>1321</v>
      </c>
      <c r="E80" s="706">
        <f>SUM(E78:E79)</f>
        <v>3.25</v>
      </c>
      <c r="F80" s="706">
        <f>SUM(F78:F79)</f>
        <v>2.8490000000000002</v>
      </c>
      <c r="G80" s="706">
        <f>SUM(G78:G79)</f>
        <v>2.8490000000000002</v>
      </c>
      <c r="H80" s="706">
        <f t="shared" ref="H80" si="9">SUM(H78:H79)</f>
        <v>3.44</v>
      </c>
      <c r="I80" s="707">
        <f>G80/F80</f>
        <v>1</v>
      </c>
      <c r="J80" s="1658"/>
      <c r="K80" s="1641"/>
      <c r="L80" s="1639"/>
      <c r="M80" s="1645"/>
      <c r="N80" s="1649"/>
      <c r="O80" s="1649"/>
      <c r="P80" s="1639"/>
    </row>
    <row r="81" spans="1:16" s="425" customFormat="1" ht="31.5" customHeight="1">
      <c r="A81" s="1665" t="s">
        <v>2681</v>
      </c>
      <c r="B81" s="1667" t="s">
        <v>575</v>
      </c>
      <c r="C81" s="1669">
        <v>188711925</v>
      </c>
      <c r="D81" s="724" t="s">
        <v>1326</v>
      </c>
      <c r="E81" s="701">
        <v>11.2</v>
      </c>
      <c r="F81" s="701">
        <v>11.2</v>
      </c>
      <c r="G81" s="701">
        <v>11.2</v>
      </c>
      <c r="H81" s="701">
        <v>6.9</v>
      </c>
      <c r="I81" s="725">
        <f>G81/F81</f>
        <v>1</v>
      </c>
      <c r="J81" s="1658"/>
      <c r="K81" s="1640" t="s">
        <v>2923</v>
      </c>
      <c r="L81" s="1637" t="s">
        <v>3487</v>
      </c>
      <c r="M81" s="1643" t="s">
        <v>2922</v>
      </c>
      <c r="N81" s="1647">
        <v>100</v>
      </c>
      <c r="O81" s="1647">
        <v>100</v>
      </c>
      <c r="P81" s="1637" t="s">
        <v>3544</v>
      </c>
    </row>
    <row r="82" spans="1:16" s="425" customFormat="1" ht="34.200000000000003" customHeight="1">
      <c r="A82" s="1671"/>
      <c r="B82" s="1672"/>
      <c r="C82" s="1675"/>
      <c r="D82" s="727" t="s">
        <v>1321</v>
      </c>
      <c r="E82" s="706">
        <f>E81</f>
        <v>11.2</v>
      </c>
      <c r="F82" s="706">
        <f>F81</f>
        <v>11.2</v>
      </c>
      <c r="G82" s="706">
        <f>G81</f>
        <v>11.2</v>
      </c>
      <c r="H82" s="706">
        <f>H81</f>
        <v>6.9</v>
      </c>
      <c r="I82" s="707">
        <f>G82/F82</f>
        <v>1</v>
      </c>
      <c r="J82" s="1658"/>
      <c r="K82" s="1714"/>
      <c r="L82" s="1639"/>
      <c r="M82" s="1645"/>
      <c r="N82" s="1649"/>
      <c r="O82" s="1649"/>
      <c r="P82" s="1639"/>
    </row>
    <row r="83" spans="1:16" s="425" customFormat="1" ht="30" customHeight="1">
      <c r="A83" s="1665" t="s">
        <v>2680</v>
      </c>
      <c r="B83" s="1667" t="s">
        <v>250</v>
      </c>
      <c r="C83" s="1669">
        <v>188711925</v>
      </c>
      <c r="D83" s="724" t="s">
        <v>1326</v>
      </c>
      <c r="E83" s="701">
        <v>10</v>
      </c>
      <c r="F83" s="701">
        <v>10</v>
      </c>
      <c r="G83" s="701">
        <v>10</v>
      </c>
      <c r="H83" s="701">
        <v>10</v>
      </c>
      <c r="I83" s="702">
        <f>G83/F83</f>
        <v>1</v>
      </c>
      <c r="J83" s="1658"/>
      <c r="K83" s="1640" t="s">
        <v>2924</v>
      </c>
      <c r="L83" s="1637" t="s">
        <v>3488</v>
      </c>
      <c r="M83" s="1643" t="s">
        <v>2925</v>
      </c>
      <c r="N83" s="1647">
        <v>100</v>
      </c>
      <c r="O83" s="1647">
        <v>100</v>
      </c>
      <c r="P83" s="1637" t="s">
        <v>3544</v>
      </c>
    </row>
    <row r="84" spans="1:16" s="425" customFormat="1" ht="29.25" hidden="1" customHeight="1">
      <c r="A84" s="1666"/>
      <c r="B84" s="1668"/>
      <c r="C84" s="1670"/>
      <c r="D84" s="724" t="s">
        <v>668</v>
      </c>
      <c r="E84" s="643">
        <v>0</v>
      </c>
      <c r="F84" s="643"/>
      <c r="G84" s="643"/>
      <c r="H84" s="643">
        <v>0.8</v>
      </c>
      <c r="I84" s="702"/>
      <c r="J84" s="1658"/>
      <c r="K84" s="1642"/>
      <c r="L84" s="1638"/>
      <c r="M84" s="1644"/>
      <c r="N84" s="1648"/>
      <c r="O84" s="1648"/>
      <c r="P84" s="1638"/>
    </row>
    <row r="85" spans="1:16" s="425" customFormat="1" ht="33" customHeight="1">
      <c r="A85" s="1671"/>
      <c r="B85" s="1672"/>
      <c r="C85" s="1675"/>
      <c r="D85" s="727" t="s">
        <v>1321</v>
      </c>
      <c r="E85" s="706">
        <f>SUM(E83:E84)</f>
        <v>10</v>
      </c>
      <c r="F85" s="706">
        <f>SUM(F83:F84)</f>
        <v>10</v>
      </c>
      <c r="G85" s="706">
        <f>SUM(G83:G84)</f>
        <v>10</v>
      </c>
      <c r="H85" s="706">
        <f t="shared" ref="H85" si="10">SUM(H83:H84)</f>
        <v>10.8</v>
      </c>
      <c r="I85" s="707">
        <f t="shared" ref="I85:I94" si="11">G85/F85</f>
        <v>1</v>
      </c>
      <c r="J85" s="1658"/>
      <c r="K85" s="1641"/>
      <c r="L85" s="1639"/>
      <c r="M85" s="1645"/>
      <c r="N85" s="1649"/>
      <c r="O85" s="1649"/>
      <c r="P85" s="1639"/>
    </row>
    <row r="86" spans="1:16" s="425" customFormat="1" ht="30.75" customHeight="1">
      <c r="A86" s="1665" t="s">
        <v>2679</v>
      </c>
      <c r="B86" s="1667" t="s">
        <v>973</v>
      </c>
      <c r="C86" s="1669">
        <v>188711925</v>
      </c>
      <c r="D86" s="724" t="s">
        <v>1326</v>
      </c>
      <c r="E86" s="701">
        <v>27.26</v>
      </c>
      <c r="F86" s="701">
        <v>27.26</v>
      </c>
      <c r="G86" s="701">
        <v>21.143000000000001</v>
      </c>
      <c r="H86" s="701">
        <f>30.09+0.004</f>
        <v>30.094000000000001</v>
      </c>
      <c r="I86" s="725">
        <f t="shared" si="11"/>
        <v>0.77560528246515037</v>
      </c>
      <c r="J86" s="1658"/>
      <c r="K86" s="1640" t="s">
        <v>3556</v>
      </c>
      <c r="L86" s="1637" t="s">
        <v>3489</v>
      </c>
      <c r="M86" s="1643" t="s">
        <v>2926</v>
      </c>
      <c r="N86" s="1647">
        <v>100</v>
      </c>
      <c r="O86" s="1647">
        <v>78</v>
      </c>
      <c r="P86" s="1637" t="s">
        <v>3545</v>
      </c>
    </row>
    <row r="87" spans="1:16" s="425" customFormat="1" ht="54.75" customHeight="1">
      <c r="A87" s="1671"/>
      <c r="B87" s="1672"/>
      <c r="C87" s="1675"/>
      <c r="D87" s="727" t="s">
        <v>1321</v>
      </c>
      <c r="E87" s="706">
        <f>E86</f>
        <v>27.26</v>
      </c>
      <c r="F87" s="706">
        <f>F86</f>
        <v>27.26</v>
      </c>
      <c r="G87" s="706">
        <f>G86</f>
        <v>21.143000000000001</v>
      </c>
      <c r="H87" s="706">
        <f>H86</f>
        <v>30.094000000000001</v>
      </c>
      <c r="I87" s="707">
        <f t="shared" si="11"/>
        <v>0.77560528246515037</v>
      </c>
      <c r="J87" s="1658"/>
      <c r="K87" s="1641"/>
      <c r="L87" s="1639"/>
      <c r="M87" s="1645"/>
      <c r="N87" s="1649"/>
      <c r="O87" s="1649"/>
      <c r="P87" s="1639"/>
    </row>
    <row r="88" spans="1:16" s="425" customFormat="1" ht="30.75" customHeight="1">
      <c r="A88" s="1665" t="s">
        <v>2678</v>
      </c>
      <c r="B88" s="1667" t="s">
        <v>202</v>
      </c>
      <c r="C88" s="1669">
        <v>188711925</v>
      </c>
      <c r="D88" s="724" t="s">
        <v>1326</v>
      </c>
      <c r="E88" s="701">
        <v>1.45</v>
      </c>
      <c r="F88" s="701">
        <v>1.45</v>
      </c>
      <c r="G88" s="701">
        <v>0</v>
      </c>
      <c r="H88" s="701">
        <v>21.948</v>
      </c>
      <c r="I88" s="743">
        <f t="shared" si="11"/>
        <v>0</v>
      </c>
      <c r="J88" s="1658"/>
      <c r="K88" s="1640" t="s">
        <v>3611</v>
      </c>
      <c r="L88" s="1637" t="s">
        <v>3490</v>
      </c>
      <c r="M88" s="1643" t="s">
        <v>2927</v>
      </c>
      <c r="N88" s="1647">
        <v>100</v>
      </c>
      <c r="O88" s="1647">
        <v>0</v>
      </c>
      <c r="P88" s="1637" t="s">
        <v>3557</v>
      </c>
    </row>
    <row r="89" spans="1:16" s="425" customFormat="1" ht="35.25" customHeight="1">
      <c r="A89" s="1671"/>
      <c r="B89" s="1672"/>
      <c r="C89" s="1675"/>
      <c r="D89" s="727" t="s">
        <v>1321</v>
      </c>
      <c r="E89" s="706">
        <f>E88</f>
        <v>1.45</v>
      </c>
      <c r="F89" s="706">
        <f>F88</f>
        <v>1.45</v>
      </c>
      <c r="G89" s="706">
        <f>G88</f>
        <v>0</v>
      </c>
      <c r="H89" s="706">
        <f>H88</f>
        <v>21.948</v>
      </c>
      <c r="I89" s="707">
        <f t="shared" si="11"/>
        <v>0</v>
      </c>
      <c r="J89" s="1658"/>
      <c r="K89" s="1641"/>
      <c r="L89" s="1639"/>
      <c r="M89" s="1645"/>
      <c r="N89" s="1649"/>
      <c r="O89" s="1649"/>
      <c r="P89" s="1639"/>
    </row>
    <row r="90" spans="1:16" s="425" customFormat="1" ht="30" customHeight="1">
      <c r="A90" s="1665" t="s">
        <v>2677</v>
      </c>
      <c r="B90" s="1667" t="s">
        <v>964</v>
      </c>
      <c r="C90" s="1669">
        <v>188711925</v>
      </c>
      <c r="D90" s="724" t="s">
        <v>1326</v>
      </c>
      <c r="E90" s="701">
        <v>1.4</v>
      </c>
      <c r="F90" s="701">
        <v>1.8149999999999999</v>
      </c>
      <c r="G90" s="701">
        <v>1.8029999999999999</v>
      </c>
      <c r="H90" s="701">
        <v>1.708</v>
      </c>
      <c r="I90" s="743">
        <f t="shared" si="11"/>
        <v>0.99338842975206609</v>
      </c>
      <c r="J90" s="1658"/>
      <c r="K90" s="1640" t="s">
        <v>3612</v>
      </c>
      <c r="L90" s="1637" t="s">
        <v>3491</v>
      </c>
      <c r="M90" s="1643" t="s">
        <v>2928</v>
      </c>
      <c r="N90" s="1647">
        <v>100</v>
      </c>
      <c r="O90" s="1647">
        <v>18</v>
      </c>
      <c r="P90" s="1637" t="s">
        <v>3545</v>
      </c>
    </row>
    <row r="91" spans="1:16" s="425" customFormat="1" ht="30" customHeight="1">
      <c r="A91" s="1666"/>
      <c r="B91" s="1668"/>
      <c r="C91" s="1670"/>
      <c r="D91" s="724" t="s">
        <v>668</v>
      </c>
      <c r="E91" s="701">
        <v>8</v>
      </c>
      <c r="F91" s="701">
        <v>8</v>
      </c>
      <c r="G91" s="701">
        <v>0</v>
      </c>
      <c r="H91" s="701">
        <v>0</v>
      </c>
      <c r="I91" s="725">
        <f t="shared" si="11"/>
        <v>0</v>
      </c>
      <c r="J91" s="1658"/>
      <c r="K91" s="1642"/>
      <c r="L91" s="1638"/>
      <c r="M91" s="1644"/>
      <c r="N91" s="1648"/>
      <c r="O91" s="1648"/>
      <c r="P91" s="1638"/>
    </row>
    <row r="92" spans="1:16" s="425" customFormat="1" ht="30" customHeight="1">
      <c r="A92" s="1671"/>
      <c r="B92" s="1672"/>
      <c r="C92" s="1679"/>
      <c r="D92" s="730" t="s">
        <v>1321</v>
      </c>
      <c r="E92" s="731">
        <f>SUM(E90:E91)</f>
        <v>9.4</v>
      </c>
      <c r="F92" s="731">
        <f>SUM(F90:F91)</f>
        <v>9.8149999999999995</v>
      </c>
      <c r="G92" s="731">
        <f>SUM(G90:G91)</f>
        <v>1.8029999999999999</v>
      </c>
      <c r="H92" s="731">
        <f t="shared" ref="H92" si="12">SUM(H90:H91)</f>
        <v>1.708</v>
      </c>
      <c r="I92" s="746">
        <f t="shared" si="11"/>
        <v>0.18369842078451351</v>
      </c>
      <c r="J92" s="1664"/>
      <c r="K92" s="1641"/>
      <c r="L92" s="1639"/>
      <c r="M92" s="1645"/>
      <c r="N92" s="1649"/>
      <c r="O92" s="1649"/>
      <c r="P92" s="1639"/>
    </row>
    <row r="93" spans="1:16" s="449" customFormat="1" ht="41.25" customHeight="1">
      <c r="A93" s="501" t="s">
        <v>1941</v>
      </c>
      <c r="B93" s="496" t="s">
        <v>1953</v>
      </c>
      <c r="C93" s="501"/>
      <c r="D93" s="501"/>
      <c r="E93" s="502">
        <f>SUM(E96,E105,E107,E109)</f>
        <v>124.15</v>
      </c>
      <c r="F93" s="502">
        <f t="shared" ref="F93:H93" si="13">SUM(F96,F105,F107,F109)</f>
        <v>129.14999999999998</v>
      </c>
      <c r="G93" s="502">
        <f t="shared" si="13"/>
        <v>101.408</v>
      </c>
      <c r="H93" s="698">
        <f t="shared" si="13"/>
        <v>127.9</v>
      </c>
      <c r="I93" s="539">
        <f t="shared" si="11"/>
        <v>0.78519550909794822</v>
      </c>
      <c r="J93" s="502" t="s">
        <v>1259</v>
      </c>
      <c r="K93" s="1655"/>
      <c r="L93" s="1656"/>
      <c r="M93" s="1656"/>
      <c r="N93" s="1656"/>
      <c r="O93" s="1656"/>
      <c r="P93" s="1656"/>
    </row>
    <row r="94" spans="1:16" s="425" customFormat="1" ht="28.5" customHeight="1">
      <c r="A94" s="1665" t="s">
        <v>2676</v>
      </c>
      <c r="B94" s="1667" t="s">
        <v>974</v>
      </c>
      <c r="C94" s="1678">
        <v>188711925</v>
      </c>
      <c r="D94" s="733" t="s">
        <v>668</v>
      </c>
      <c r="E94" s="734">
        <v>90.95</v>
      </c>
      <c r="F94" s="734">
        <v>95.95</v>
      </c>
      <c r="G94" s="734">
        <v>84.888999999999996</v>
      </c>
      <c r="H94" s="734">
        <v>107.7</v>
      </c>
      <c r="I94" s="748">
        <f t="shared" si="11"/>
        <v>0.88472120896300155</v>
      </c>
      <c r="J94" s="1657" t="s">
        <v>2204</v>
      </c>
      <c r="K94" s="1640" t="s">
        <v>3613</v>
      </c>
      <c r="L94" s="1637" t="s">
        <v>73</v>
      </c>
      <c r="M94" s="1643" t="s">
        <v>2929</v>
      </c>
      <c r="N94" s="1647">
        <v>100</v>
      </c>
      <c r="O94" s="1647">
        <v>88</v>
      </c>
      <c r="P94" s="1637" t="s">
        <v>3545</v>
      </c>
    </row>
    <row r="95" spans="1:16" s="425" customFormat="1" ht="27.75" hidden="1" customHeight="1">
      <c r="A95" s="1666"/>
      <c r="B95" s="1668"/>
      <c r="C95" s="1670"/>
      <c r="D95" s="724" t="s">
        <v>1320</v>
      </c>
      <c r="E95" s="701"/>
      <c r="F95" s="701"/>
      <c r="G95" s="701"/>
      <c r="H95" s="701"/>
      <c r="I95" s="725"/>
      <c r="J95" s="1658"/>
      <c r="K95" s="1642"/>
      <c r="L95" s="1638"/>
      <c r="M95" s="1644"/>
      <c r="N95" s="1648"/>
      <c r="O95" s="1648"/>
      <c r="P95" s="1638"/>
    </row>
    <row r="96" spans="1:16" s="425" customFormat="1" ht="35.25" customHeight="1">
      <c r="A96" s="1671"/>
      <c r="B96" s="1672"/>
      <c r="C96" s="1675"/>
      <c r="D96" s="727" t="s">
        <v>1321</v>
      </c>
      <c r="E96" s="706">
        <f>E94</f>
        <v>90.95</v>
      </c>
      <c r="F96" s="706">
        <f>F94</f>
        <v>95.95</v>
      </c>
      <c r="G96" s="706">
        <f>G94</f>
        <v>84.888999999999996</v>
      </c>
      <c r="H96" s="706">
        <f>H94+H95</f>
        <v>107.7</v>
      </c>
      <c r="I96" s="707">
        <f>G96/F96</f>
        <v>0.88472120896300155</v>
      </c>
      <c r="J96" s="1658"/>
      <c r="K96" s="1641"/>
      <c r="L96" s="1639"/>
      <c r="M96" s="1645"/>
      <c r="N96" s="1649"/>
      <c r="O96" s="1649"/>
      <c r="P96" s="1639"/>
    </row>
    <row r="97" spans="1:16" s="425" customFormat="1" ht="32.25" hidden="1" customHeight="1">
      <c r="A97" s="749"/>
      <c r="B97" s="641" t="s">
        <v>2563</v>
      </c>
      <c r="C97" s="750"/>
      <c r="D97" s="751"/>
      <c r="E97" s="719"/>
      <c r="F97" s="719"/>
      <c r="G97" s="719"/>
      <c r="H97" s="464">
        <v>0.6</v>
      </c>
      <c r="I97" s="752"/>
      <c r="J97" s="1658"/>
      <c r="K97" s="1495"/>
      <c r="L97" s="753"/>
      <c r="M97" s="465"/>
      <c r="N97" s="465"/>
      <c r="O97" s="465"/>
      <c r="P97" s="753"/>
    </row>
    <row r="98" spans="1:16" s="425" customFormat="1" ht="50.25" hidden="1" customHeight="1">
      <c r="A98" s="749"/>
      <c r="B98" s="641" t="s">
        <v>2568</v>
      </c>
      <c r="C98" s="750"/>
      <c r="D98" s="751"/>
      <c r="E98" s="719"/>
      <c r="F98" s="719"/>
      <c r="G98" s="719"/>
      <c r="H98" s="464">
        <v>28.1</v>
      </c>
      <c r="I98" s="752"/>
      <c r="J98" s="1658"/>
      <c r="K98" s="1495"/>
      <c r="L98" s="753"/>
      <c r="M98" s="465"/>
      <c r="N98" s="465"/>
      <c r="O98" s="465"/>
      <c r="P98" s="753"/>
    </row>
    <row r="99" spans="1:16" s="425" customFormat="1" ht="42" hidden="1" customHeight="1">
      <c r="A99" s="749"/>
      <c r="B99" s="641" t="s">
        <v>2564</v>
      </c>
      <c r="C99" s="750"/>
      <c r="D99" s="751"/>
      <c r="E99" s="719"/>
      <c r="F99" s="719"/>
      <c r="G99" s="719"/>
      <c r="H99" s="464">
        <v>57.58</v>
      </c>
      <c r="I99" s="752"/>
      <c r="J99" s="1658"/>
      <c r="K99" s="1495"/>
      <c r="L99" s="753"/>
      <c r="M99" s="465"/>
      <c r="N99" s="465"/>
      <c r="O99" s="465"/>
      <c r="P99" s="753"/>
    </row>
    <row r="100" spans="1:16" s="425" customFormat="1" ht="41.25" hidden="1" customHeight="1">
      <c r="A100" s="749"/>
      <c r="B100" s="641" t="s">
        <v>2565</v>
      </c>
      <c r="C100" s="750"/>
      <c r="D100" s="751"/>
      <c r="E100" s="719"/>
      <c r="F100" s="719"/>
      <c r="G100" s="719"/>
      <c r="H100" s="464">
        <v>18.12</v>
      </c>
      <c r="I100" s="752"/>
      <c r="J100" s="1658"/>
      <c r="K100" s="1495"/>
      <c r="L100" s="753"/>
      <c r="M100" s="465"/>
      <c r="N100" s="465"/>
      <c r="O100" s="465"/>
      <c r="P100" s="753"/>
    </row>
    <row r="101" spans="1:16" s="425" customFormat="1" ht="42" hidden="1" customHeight="1">
      <c r="A101" s="749"/>
      <c r="B101" s="737" t="s">
        <v>2566</v>
      </c>
      <c r="C101" s="750"/>
      <c r="D101" s="751"/>
      <c r="E101" s="719"/>
      <c r="F101" s="719"/>
      <c r="G101" s="719"/>
      <c r="H101" s="754">
        <v>3.33</v>
      </c>
      <c r="I101" s="719"/>
      <c r="J101" s="1658"/>
      <c r="K101" s="1496"/>
      <c r="L101" s="755"/>
      <c r="M101" s="652"/>
      <c r="N101" s="652"/>
      <c r="O101" s="652"/>
      <c r="P101" s="755"/>
    </row>
    <row r="102" spans="1:16" s="425" customFormat="1" ht="51" hidden="1" customHeight="1">
      <c r="A102" s="749"/>
      <c r="B102" s="737" t="s">
        <v>2567</v>
      </c>
      <c r="C102" s="750"/>
      <c r="D102" s="751"/>
      <c r="E102" s="719"/>
      <c r="F102" s="719"/>
      <c r="G102" s="719"/>
      <c r="H102" s="754"/>
      <c r="I102" s="719"/>
      <c r="J102" s="1658"/>
      <c r="K102" s="1496"/>
      <c r="L102" s="755"/>
      <c r="M102" s="652"/>
      <c r="N102" s="652"/>
      <c r="O102" s="652"/>
      <c r="P102" s="755"/>
    </row>
    <row r="103" spans="1:16" s="425" customFormat="1" ht="25.5" customHeight="1">
      <c r="A103" s="1665" t="s">
        <v>2675</v>
      </c>
      <c r="B103" s="1667" t="s">
        <v>2657</v>
      </c>
      <c r="C103" s="1669">
        <v>188711925</v>
      </c>
      <c r="D103" s="724" t="s">
        <v>668</v>
      </c>
      <c r="E103" s="701">
        <v>5</v>
      </c>
      <c r="F103" s="701">
        <v>5</v>
      </c>
      <c r="G103" s="701">
        <v>4.0990000000000002</v>
      </c>
      <c r="H103" s="734"/>
      <c r="I103" s="702">
        <f>G103/F103</f>
        <v>0.81980000000000008</v>
      </c>
      <c r="J103" s="1658"/>
      <c r="K103" s="1640" t="s">
        <v>3614</v>
      </c>
      <c r="L103" s="1637" t="s">
        <v>465</v>
      </c>
      <c r="M103" s="1643" t="s">
        <v>3615</v>
      </c>
      <c r="N103" s="1647">
        <v>1</v>
      </c>
      <c r="O103" s="1647">
        <v>3</v>
      </c>
      <c r="P103" s="1637" t="s">
        <v>3544</v>
      </c>
    </row>
    <row r="104" spans="1:16" s="425" customFormat="1" ht="26.25" hidden="1" customHeight="1">
      <c r="A104" s="1666"/>
      <c r="B104" s="1668"/>
      <c r="C104" s="1670"/>
      <c r="D104" s="724" t="s">
        <v>1324</v>
      </c>
      <c r="E104" s="643"/>
      <c r="F104" s="643"/>
      <c r="G104" s="643"/>
      <c r="H104" s="643"/>
      <c r="I104" s="702"/>
      <c r="J104" s="1658"/>
      <c r="K104" s="1642"/>
      <c r="L104" s="1638"/>
      <c r="M104" s="1644"/>
      <c r="N104" s="1648"/>
      <c r="O104" s="1648"/>
      <c r="P104" s="1638"/>
    </row>
    <row r="105" spans="1:16" s="425" customFormat="1" ht="69.75" customHeight="1">
      <c r="A105" s="1671"/>
      <c r="B105" s="1672"/>
      <c r="C105" s="1675"/>
      <c r="D105" s="727" t="s">
        <v>1321</v>
      </c>
      <c r="E105" s="706">
        <f>E103</f>
        <v>5</v>
      </c>
      <c r="F105" s="706">
        <f>F103</f>
        <v>5</v>
      </c>
      <c r="G105" s="706">
        <f>G103</f>
        <v>4.0990000000000002</v>
      </c>
      <c r="H105" s="706">
        <f>H103+H104</f>
        <v>0</v>
      </c>
      <c r="I105" s="707">
        <f t="shared" ref="I105:I123" si="14">G105/F105</f>
        <v>0.81980000000000008</v>
      </c>
      <c r="J105" s="1664"/>
      <c r="K105" s="1641"/>
      <c r="L105" s="1639"/>
      <c r="M105" s="1645"/>
      <c r="N105" s="1649"/>
      <c r="O105" s="1649"/>
      <c r="P105" s="1639"/>
    </row>
    <row r="106" spans="1:16" s="425" customFormat="1" ht="26.25" customHeight="1">
      <c r="A106" s="1665" t="s">
        <v>2674</v>
      </c>
      <c r="B106" s="1667" t="s">
        <v>969</v>
      </c>
      <c r="C106" s="1669">
        <v>188711925</v>
      </c>
      <c r="D106" s="724" t="s">
        <v>668</v>
      </c>
      <c r="E106" s="701">
        <v>28</v>
      </c>
      <c r="F106" s="701">
        <v>28</v>
      </c>
      <c r="G106" s="701">
        <v>12.42</v>
      </c>
      <c r="H106" s="701">
        <v>20</v>
      </c>
      <c r="I106" s="756">
        <f t="shared" si="14"/>
        <v>0.44357142857142856</v>
      </c>
      <c r="J106" s="1657" t="s">
        <v>2205</v>
      </c>
      <c r="K106" s="1640" t="s">
        <v>3616</v>
      </c>
      <c r="L106" s="1637" t="s">
        <v>3492</v>
      </c>
      <c r="M106" s="1643" t="s">
        <v>1337</v>
      </c>
      <c r="N106" s="1647">
        <v>5</v>
      </c>
      <c r="O106" s="1647">
        <v>2</v>
      </c>
      <c r="P106" s="1637" t="s">
        <v>3545</v>
      </c>
    </row>
    <row r="107" spans="1:16" s="425" customFormat="1" ht="29.5" customHeight="1">
      <c r="A107" s="1671"/>
      <c r="B107" s="1672"/>
      <c r="C107" s="1675"/>
      <c r="D107" s="727" t="s">
        <v>1321</v>
      </c>
      <c r="E107" s="706">
        <f>E106</f>
        <v>28</v>
      </c>
      <c r="F107" s="706">
        <f>F106</f>
        <v>28</v>
      </c>
      <c r="G107" s="706">
        <f>G106</f>
        <v>12.42</v>
      </c>
      <c r="H107" s="706">
        <f>H106</f>
        <v>20</v>
      </c>
      <c r="I107" s="707">
        <f t="shared" si="14"/>
        <v>0.44357142857142856</v>
      </c>
      <c r="J107" s="1658"/>
      <c r="K107" s="1641"/>
      <c r="L107" s="1639"/>
      <c r="M107" s="1645"/>
      <c r="N107" s="1649"/>
      <c r="O107" s="1649"/>
      <c r="P107" s="1639"/>
    </row>
    <row r="108" spans="1:16" s="425" customFormat="1" ht="30" customHeight="1">
      <c r="A108" s="1665" t="s">
        <v>2673</v>
      </c>
      <c r="B108" s="1715" t="s">
        <v>965</v>
      </c>
      <c r="C108" s="1669">
        <v>188711925</v>
      </c>
      <c r="D108" s="724" t="s">
        <v>668</v>
      </c>
      <c r="E108" s="701">
        <v>0.2</v>
      </c>
      <c r="F108" s="701">
        <v>0.2</v>
      </c>
      <c r="G108" s="701">
        <v>0</v>
      </c>
      <c r="H108" s="701">
        <v>0.2</v>
      </c>
      <c r="I108" s="725">
        <f t="shared" si="14"/>
        <v>0</v>
      </c>
      <c r="J108" s="1658"/>
      <c r="K108" s="1640" t="s">
        <v>3617</v>
      </c>
      <c r="L108" s="1637" t="s">
        <v>3493</v>
      </c>
      <c r="M108" s="1643" t="s">
        <v>868</v>
      </c>
      <c r="N108" s="1647">
        <v>1</v>
      </c>
      <c r="O108" s="1647">
        <v>0</v>
      </c>
      <c r="P108" s="1637" t="s">
        <v>3557</v>
      </c>
    </row>
    <row r="109" spans="1:16" s="425" customFormat="1" ht="31.5" customHeight="1">
      <c r="A109" s="1671"/>
      <c r="B109" s="1716"/>
      <c r="C109" s="1679"/>
      <c r="D109" s="730" t="s">
        <v>1321</v>
      </c>
      <c r="E109" s="731">
        <f>E108</f>
        <v>0.2</v>
      </c>
      <c r="F109" s="731">
        <f>F108</f>
        <v>0.2</v>
      </c>
      <c r="G109" s="731">
        <f>G108</f>
        <v>0</v>
      </c>
      <c r="H109" s="731">
        <f>H108</f>
        <v>0.2</v>
      </c>
      <c r="I109" s="746">
        <f t="shared" si="14"/>
        <v>0</v>
      </c>
      <c r="J109" s="1664"/>
      <c r="K109" s="1641"/>
      <c r="L109" s="1639"/>
      <c r="M109" s="1645"/>
      <c r="N109" s="1649"/>
      <c r="O109" s="1649"/>
      <c r="P109" s="1639"/>
    </row>
    <row r="110" spans="1:16" s="449" customFormat="1" ht="48" customHeight="1">
      <c r="A110" s="501" t="s">
        <v>1942</v>
      </c>
      <c r="B110" s="496" t="s">
        <v>2824</v>
      </c>
      <c r="C110" s="501"/>
      <c r="D110" s="501"/>
      <c r="E110" s="502">
        <f t="shared" ref="E110:H110" si="15">SUM(E112,E114,E116,E118)</f>
        <v>410.70000000000005</v>
      </c>
      <c r="F110" s="502">
        <f t="shared" si="15"/>
        <v>382.67500000000001</v>
      </c>
      <c r="G110" s="502">
        <f t="shared" si="15"/>
        <v>322.20099999999996</v>
      </c>
      <c r="H110" s="502">
        <f t="shared" si="15"/>
        <v>692.83999999999992</v>
      </c>
      <c r="I110" s="502">
        <f t="shared" si="14"/>
        <v>0.84197034036715213</v>
      </c>
      <c r="J110" s="502" t="s">
        <v>1215</v>
      </c>
      <c r="K110" s="1653"/>
      <c r="L110" s="1654"/>
      <c r="M110" s="1654"/>
      <c r="N110" s="1654"/>
      <c r="O110" s="1654"/>
      <c r="P110" s="1654"/>
    </row>
    <row r="111" spans="1:16" s="425" customFormat="1" ht="28.2" customHeight="1">
      <c r="A111" s="1665" t="s">
        <v>2672</v>
      </c>
      <c r="B111" s="1667" t="s">
        <v>1338</v>
      </c>
      <c r="C111" s="1678">
        <v>188711925</v>
      </c>
      <c r="D111" s="733" t="s">
        <v>668</v>
      </c>
      <c r="E111" s="734">
        <v>62.5</v>
      </c>
      <c r="F111" s="734">
        <v>38.884999999999998</v>
      </c>
      <c r="G111" s="734">
        <v>0</v>
      </c>
      <c r="H111" s="734">
        <v>80</v>
      </c>
      <c r="I111" s="725">
        <f t="shared" si="14"/>
        <v>0</v>
      </c>
      <c r="J111" s="1657" t="s">
        <v>2199</v>
      </c>
      <c r="K111" s="1640" t="s">
        <v>3618</v>
      </c>
      <c r="L111" s="1637" t="s">
        <v>750</v>
      </c>
      <c r="M111" s="1643" t="s">
        <v>2930</v>
      </c>
      <c r="N111" s="1647">
        <v>100</v>
      </c>
      <c r="O111" s="1647">
        <v>0</v>
      </c>
      <c r="P111" s="1637" t="s">
        <v>3557</v>
      </c>
    </row>
    <row r="112" spans="1:16" s="425" customFormat="1" ht="49.5" customHeight="1">
      <c r="A112" s="1671"/>
      <c r="B112" s="1672"/>
      <c r="C112" s="1675"/>
      <c r="D112" s="727" t="s">
        <v>1321</v>
      </c>
      <c r="E112" s="706">
        <f>E111</f>
        <v>62.5</v>
      </c>
      <c r="F112" s="706">
        <f>F111</f>
        <v>38.884999999999998</v>
      </c>
      <c r="G112" s="706">
        <f>G111</f>
        <v>0</v>
      </c>
      <c r="H112" s="706">
        <f>H111</f>
        <v>80</v>
      </c>
      <c r="I112" s="707">
        <f t="shared" si="14"/>
        <v>0</v>
      </c>
      <c r="J112" s="1658"/>
      <c r="K112" s="1641"/>
      <c r="L112" s="1639"/>
      <c r="M112" s="1645"/>
      <c r="N112" s="1649"/>
      <c r="O112" s="1649"/>
      <c r="P112" s="1639"/>
    </row>
    <row r="113" spans="1:16" s="425" customFormat="1" ht="33.75" customHeight="1">
      <c r="A113" s="1665" t="s">
        <v>2671</v>
      </c>
      <c r="B113" s="1667" t="s">
        <v>978</v>
      </c>
      <c r="C113" s="1669">
        <v>188711925</v>
      </c>
      <c r="D113" s="724" t="s">
        <v>668</v>
      </c>
      <c r="E113" s="701">
        <v>290.86</v>
      </c>
      <c r="F113" s="701">
        <v>290.86</v>
      </c>
      <c r="G113" s="701">
        <v>270.66399999999999</v>
      </c>
      <c r="H113" s="701">
        <v>552.41499999999996</v>
      </c>
      <c r="I113" s="725">
        <f t="shared" si="14"/>
        <v>0.93056453276490403</v>
      </c>
      <c r="J113" s="1658"/>
      <c r="K113" s="1640" t="s">
        <v>3558</v>
      </c>
      <c r="L113" s="1637" t="s">
        <v>574</v>
      </c>
      <c r="M113" s="1643" t="s">
        <v>2931</v>
      </c>
      <c r="N113" s="1647">
        <v>100</v>
      </c>
      <c r="O113" s="1647">
        <v>93</v>
      </c>
      <c r="P113" s="1637" t="s">
        <v>3545</v>
      </c>
    </row>
    <row r="114" spans="1:16" s="425" customFormat="1" ht="41.25" customHeight="1">
      <c r="A114" s="1671"/>
      <c r="B114" s="1672">
        <f>SUM(B113:B113)</f>
        <v>0</v>
      </c>
      <c r="C114" s="1675">
        <f>SUM(C113:C113)</f>
        <v>188711925</v>
      </c>
      <c r="D114" s="727" t="s">
        <v>1321</v>
      </c>
      <c r="E114" s="706">
        <f>E113</f>
        <v>290.86</v>
      </c>
      <c r="F114" s="706">
        <f>F113</f>
        <v>290.86</v>
      </c>
      <c r="G114" s="706">
        <f>G113</f>
        <v>270.66399999999999</v>
      </c>
      <c r="H114" s="706">
        <f>H113</f>
        <v>552.41499999999996</v>
      </c>
      <c r="I114" s="707">
        <f t="shared" si="14"/>
        <v>0.93056453276490403</v>
      </c>
      <c r="J114" s="1658"/>
      <c r="K114" s="1641"/>
      <c r="L114" s="1639"/>
      <c r="M114" s="1645"/>
      <c r="N114" s="1649"/>
      <c r="O114" s="1649"/>
      <c r="P114" s="1639"/>
    </row>
    <row r="115" spans="1:16" s="425" customFormat="1" ht="32.25" customHeight="1">
      <c r="A115" s="1665" t="s">
        <v>2670</v>
      </c>
      <c r="B115" s="1667" t="s">
        <v>975</v>
      </c>
      <c r="C115" s="1669">
        <v>188711925</v>
      </c>
      <c r="D115" s="724" t="s">
        <v>668</v>
      </c>
      <c r="E115" s="701">
        <v>55.84</v>
      </c>
      <c r="F115" s="701">
        <v>51.43</v>
      </c>
      <c r="G115" s="701">
        <v>51.429000000000002</v>
      </c>
      <c r="H115" s="701">
        <v>58.924999999999997</v>
      </c>
      <c r="I115" s="725">
        <f t="shared" si="14"/>
        <v>0.99998055609566405</v>
      </c>
      <c r="J115" s="1658"/>
      <c r="K115" s="1640" t="s">
        <v>3273</v>
      </c>
      <c r="L115" s="1637" t="s">
        <v>316</v>
      </c>
      <c r="M115" s="1643" t="s">
        <v>2932</v>
      </c>
      <c r="N115" s="1647">
        <v>100</v>
      </c>
      <c r="O115" s="1647">
        <v>100</v>
      </c>
      <c r="P115" s="1637" t="s">
        <v>3544</v>
      </c>
    </row>
    <row r="116" spans="1:16" s="425" customFormat="1" ht="69" customHeight="1">
      <c r="A116" s="1671"/>
      <c r="B116" s="1672"/>
      <c r="C116" s="1670"/>
      <c r="D116" s="730" t="s">
        <v>1321</v>
      </c>
      <c r="E116" s="731">
        <f>E115</f>
        <v>55.84</v>
      </c>
      <c r="F116" s="731">
        <f>F115</f>
        <v>51.43</v>
      </c>
      <c r="G116" s="731">
        <f>G115</f>
        <v>51.429000000000002</v>
      </c>
      <c r="H116" s="706">
        <f>H115</f>
        <v>58.924999999999997</v>
      </c>
      <c r="I116" s="707">
        <f t="shared" si="14"/>
        <v>0.99998055609566405</v>
      </c>
      <c r="J116" s="1658"/>
      <c r="K116" s="1641"/>
      <c r="L116" s="1639"/>
      <c r="M116" s="1645"/>
      <c r="N116" s="1649"/>
      <c r="O116" s="1649"/>
      <c r="P116" s="1639"/>
    </row>
    <row r="117" spans="1:16" s="425" customFormat="1" ht="25.5" customHeight="1">
      <c r="A117" s="1665" t="s">
        <v>2669</v>
      </c>
      <c r="B117" s="1667" t="s">
        <v>506</v>
      </c>
      <c r="C117" s="1696">
        <v>188711925</v>
      </c>
      <c r="D117" s="657" t="s">
        <v>668</v>
      </c>
      <c r="E117" s="701">
        <v>1.5</v>
      </c>
      <c r="F117" s="701">
        <v>1.5</v>
      </c>
      <c r="G117" s="701">
        <v>0.108</v>
      </c>
      <c r="H117" s="701">
        <v>1.5</v>
      </c>
      <c r="I117" s="725">
        <f t="shared" si="14"/>
        <v>7.1999999999999995E-2</v>
      </c>
      <c r="J117" s="1713"/>
      <c r="K117" s="1699" t="s">
        <v>3559</v>
      </c>
      <c r="L117" s="1646" t="s">
        <v>3494</v>
      </c>
      <c r="M117" s="1685" t="s">
        <v>3619</v>
      </c>
      <c r="N117" s="1650">
        <v>2</v>
      </c>
      <c r="O117" s="1650">
        <v>1</v>
      </c>
      <c r="P117" s="1646" t="s">
        <v>3545</v>
      </c>
    </row>
    <row r="118" spans="1:16" s="425" customFormat="1" ht="32.25" customHeight="1">
      <c r="A118" s="1671"/>
      <c r="B118" s="1668"/>
      <c r="C118" s="1673"/>
      <c r="D118" s="757" t="s">
        <v>1321</v>
      </c>
      <c r="E118" s="731">
        <f>E117</f>
        <v>1.5</v>
      </c>
      <c r="F118" s="731">
        <f>F117</f>
        <v>1.5</v>
      </c>
      <c r="G118" s="731">
        <f>G117</f>
        <v>0.108</v>
      </c>
      <c r="H118" s="731">
        <f>H117</f>
        <v>1.5</v>
      </c>
      <c r="I118" s="746">
        <f t="shared" si="14"/>
        <v>7.1999999999999995E-2</v>
      </c>
      <c r="J118" s="1660"/>
      <c r="K118" s="1699"/>
      <c r="L118" s="1646"/>
      <c r="M118" s="1685"/>
      <c r="N118" s="1650"/>
      <c r="O118" s="1650"/>
      <c r="P118" s="1646"/>
    </row>
    <row r="119" spans="1:16" s="449" customFormat="1" ht="44.25" customHeight="1">
      <c r="A119" s="694" t="s">
        <v>1943</v>
      </c>
      <c r="B119" s="496" t="s">
        <v>1952</v>
      </c>
      <c r="C119" s="690"/>
      <c r="D119" s="501"/>
      <c r="E119" s="502">
        <f t="shared" ref="E119:G119" si="16">SUM(E121)</f>
        <v>1</v>
      </c>
      <c r="F119" s="502">
        <f t="shared" si="16"/>
        <v>1.3049999999999999</v>
      </c>
      <c r="G119" s="502">
        <f t="shared" si="16"/>
        <v>1.3049999999999999</v>
      </c>
      <c r="H119" s="502">
        <f>SUM(H121)</f>
        <v>1.5</v>
      </c>
      <c r="I119" s="502">
        <f t="shared" si="14"/>
        <v>1</v>
      </c>
      <c r="J119" s="846" t="s">
        <v>1220</v>
      </c>
      <c r="K119" s="1750"/>
      <c r="L119" s="1750"/>
      <c r="M119" s="1750"/>
      <c r="N119" s="1750"/>
      <c r="O119" s="1750"/>
      <c r="P119" s="1750"/>
    </row>
    <row r="120" spans="1:16" s="425" customFormat="1" ht="39" customHeight="1">
      <c r="A120" s="1665" t="s">
        <v>2668</v>
      </c>
      <c r="B120" s="1668" t="s">
        <v>967</v>
      </c>
      <c r="C120" s="1670">
        <v>188711925</v>
      </c>
      <c r="D120" s="733" t="s">
        <v>668</v>
      </c>
      <c r="E120" s="734">
        <v>1</v>
      </c>
      <c r="F120" s="734">
        <v>1.3049999999999999</v>
      </c>
      <c r="G120" s="734">
        <v>1.3049999999999999</v>
      </c>
      <c r="H120" s="734">
        <v>1.5</v>
      </c>
      <c r="I120" s="725">
        <f t="shared" si="14"/>
        <v>1</v>
      </c>
      <c r="J120" s="1659" t="s">
        <v>2207</v>
      </c>
      <c r="K120" s="1699" t="s">
        <v>3620</v>
      </c>
      <c r="L120" s="1646" t="s">
        <v>34</v>
      </c>
      <c r="M120" s="1685" t="s">
        <v>870</v>
      </c>
      <c r="N120" s="1650">
        <v>99</v>
      </c>
      <c r="O120" s="1650">
        <v>100</v>
      </c>
      <c r="P120" s="1646" t="s">
        <v>3544</v>
      </c>
    </row>
    <row r="121" spans="1:16" s="425" customFormat="1" ht="51" customHeight="1">
      <c r="A121" s="1671"/>
      <c r="B121" s="1668"/>
      <c r="C121" s="1670"/>
      <c r="D121" s="730" t="s">
        <v>1321</v>
      </c>
      <c r="E121" s="731">
        <f>E120</f>
        <v>1</v>
      </c>
      <c r="F121" s="731">
        <f>F120</f>
        <v>1.3049999999999999</v>
      </c>
      <c r="G121" s="731">
        <f>G120</f>
        <v>1.3049999999999999</v>
      </c>
      <c r="H121" s="731">
        <f>H120</f>
        <v>1.5</v>
      </c>
      <c r="I121" s="746">
        <f t="shared" si="14"/>
        <v>1</v>
      </c>
      <c r="J121" s="1660"/>
      <c r="K121" s="1699"/>
      <c r="L121" s="1646"/>
      <c r="M121" s="1685"/>
      <c r="N121" s="1650"/>
      <c r="O121" s="1650"/>
      <c r="P121" s="1646"/>
    </row>
    <row r="122" spans="1:16" s="449" customFormat="1" ht="49.2" customHeight="1">
      <c r="A122" s="694" t="s">
        <v>1944</v>
      </c>
      <c r="B122" s="496" t="s">
        <v>811</v>
      </c>
      <c r="C122" s="690"/>
      <c r="D122" s="501"/>
      <c r="E122" s="502">
        <f t="shared" ref="E122:H122" si="17">SUM(E126,E164,E136,E139,E145,E142)</f>
        <v>262.99599999999998</v>
      </c>
      <c r="F122" s="502">
        <f t="shared" si="17"/>
        <v>260.99599999999998</v>
      </c>
      <c r="G122" s="502">
        <f t="shared" si="17"/>
        <v>131.50800000000001</v>
      </c>
      <c r="H122" s="698">
        <f t="shared" si="17"/>
        <v>244.98999999999998</v>
      </c>
      <c r="I122" s="502">
        <f t="shared" si="14"/>
        <v>0.50386979110790975</v>
      </c>
      <c r="J122" s="846" t="s">
        <v>1215</v>
      </c>
      <c r="K122" s="1750"/>
      <c r="L122" s="1750"/>
      <c r="M122" s="1750"/>
      <c r="N122" s="1750"/>
      <c r="O122" s="1750"/>
      <c r="P122" s="1750"/>
    </row>
    <row r="123" spans="1:16" s="425" customFormat="1" ht="36.75" customHeight="1">
      <c r="A123" s="1665" t="s">
        <v>2667</v>
      </c>
      <c r="B123" s="1668" t="s">
        <v>122</v>
      </c>
      <c r="C123" s="1710">
        <v>188711925</v>
      </c>
      <c r="D123" s="758" t="s">
        <v>668</v>
      </c>
      <c r="E123" s="759">
        <v>49</v>
      </c>
      <c r="F123" s="701">
        <v>47</v>
      </c>
      <c r="G123" s="701">
        <v>43.738999999999997</v>
      </c>
      <c r="H123" s="760">
        <f t="shared" ref="H123" si="18">SUM(H127:H134)</f>
        <v>77.2</v>
      </c>
      <c r="I123" s="702">
        <f t="shared" si="14"/>
        <v>0.93061702127659574</v>
      </c>
      <c r="J123" s="1661" t="s">
        <v>2199</v>
      </c>
      <c r="K123" s="1642" t="s">
        <v>3621</v>
      </c>
      <c r="L123" s="1638" t="s">
        <v>352</v>
      </c>
      <c r="M123" s="1644" t="s">
        <v>2933</v>
      </c>
      <c r="N123" s="1648">
        <v>3</v>
      </c>
      <c r="O123" s="1648">
        <v>3</v>
      </c>
      <c r="P123" s="1638" t="s">
        <v>3544</v>
      </c>
    </row>
    <row r="124" spans="1:16" s="425" customFormat="1" ht="33" hidden="1" customHeight="1">
      <c r="A124" s="1666"/>
      <c r="B124" s="1668"/>
      <c r="C124" s="1710"/>
      <c r="D124" s="761" t="s">
        <v>341</v>
      </c>
      <c r="E124" s="643"/>
      <c r="F124" s="643"/>
      <c r="G124" s="643"/>
      <c r="H124" s="643"/>
      <c r="I124" s="702"/>
      <c r="J124" s="1662"/>
      <c r="K124" s="1642"/>
      <c r="L124" s="1638"/>
      <c r="M124" s="1644"/>
      <c r="N124" s="1648"/>
      <c r="O124" s="1648"/>
      <c r="P124" s="1638"/>
    </row>
    <row r="125" spans="1:16" s="425" customFormat="1" ht="33.75" hidden="1" customHeight="1">
      <c r="A125" s="1666"/>
      <c r="B125" s="1668"/>
      <c r="C125" s="1710"/>
      <c r="D125" s="762" t="s">
        <v>587</v>
      </c>
      <c r="E125" s="658"/>
      <c r="F125" s="658"/>
      <c r="G125" s="658"/>
      <c r="H125" s="658"/>
      <c r="I125" s="763"/>
      <c r="J125" s="1662"/>
      <c r="K125" s="1642"/>
      <c r="L125" s="1638"/>
      <c r="M125" s="1644"/>
      <c r="N125" s="1648"/>
      <c r="O125" s="1648"/>
      <c r="P125" s="1638"/>
    </row>
    <row r="126" spans="1:16" s="425" customFormat="1" ht="66" customHeight="1">
      <c r="A126" s="1671"/>
      <c r="B126" s="1672"/>
      <c r="C126" s="1711"/>
      <c r="D126" s="705" t="s">
        <v>1321</v>
      </c>
      <c r="E126" s="706">
        <f>E123</f>
        <v>49</v>
      </c>
      <c r="F126" s="706">
        <f>F123</f>
        <v>47</v>
      </c>
      <c r="G126" s="706">
        <f>G123</f>
        <v>43.738999999999997</v>
      </c>
      <c r="H126" s="706">
        <f>H123+H124+H125</f>
        <v>77.2</v>
      </c>
      <c r="I126" s="707">
        <f>G126/F126</f>
        <v>0.93061702127659574</v>
      </c>
      <c r="J126" s="1663"/>
      <c r="K126" s="1641"/>
      <c r="L126" s="1639"/>
      <c r="M126" s="1645"/>
      <c r="N126" s="1649"/>
      <c r="O126" s="1649"/>
      <c r="P126" s="1639"/>
    </row>
    <row r="127" spans="1:16" s="425" customFormat="1" ht="34.200000000000003" hidden="1" customHeight="1">
      <c r="A127" s="657"/>
      <c r="B127" s="641" t="s">
        <v>2569</v>
      </c>
      <c r="C127" s="765"/>
      <c r="D127" s="766"/>
      <c r="E127" s="767"/>
      <c r="F127" s="767"/>
      <c r="G127" s="767"/>
      <c r="H127" s="767">
        <v>10</v>
      </c>
      <c r="I127" s="768"/>
      <c r="J127" s="768"/>
      <c r="K127" s="1497" t="s">
        <v>2587</v>
      </c>
      <c r="L127" s="770"/>
      <c r="M127" s="769"/>
      <c r="N127" s="769"/>
      <c r="O127" s="769"/>
      <c r="P127" s="770"/>
    </row>
    <row r="128" spans="1:16" s="425" customFormat="1" ht="54.65" hidden="1" customHeight="1">
      <c r="A128" s="657" t="s">
        <v>1332</v>
      </c>
      <c r="B128" s="641" t="s">
        <v>2570</v>
      </c>
      <c r="C128" s="765"/>
      <c r="D128" s="766"/>
      <c r="E128" s="767"/>
      <c r="F128" s="767"/>
      <c r="G128" s="767"/>
      <c r="H128" s="767">
        <v>40</v>
      </c>
      <c r="I128" s="767"/>
      <c r="J128" s="768"/>
      <c r="K128" s="1498"/>
      <c r="L128" s="770"/>
      <c r="M128" s="771"/>
      <c r="N128" s="771"/>
      <c r="O128" s="771"/>
      <c r="P128" s="770"/>
    </row>
    <row r="129" spans="1:16" s="425" customFormat="1" ht="25.95" hidden="1" customHeight="1">
      <c r="A129" s="723"/>
      <c r="B129" s="737" t="s">
        <v>2571</v>
      </c>
      <c r="C129" s="772"/>
      <c r="D129" s="773"/>
      <c r="E129" s="767"/>
      <c r="F129" s="767"/>
      <c r="G129" s="767"/>
      <c r="H129" s="767">
        <v>10</v>
      </c>
      <c r="I129" s="767"/>
      <c r="J129" s="774"/>
      <c r="K129" s="1499"/>
      <c r="L129" s="776"/>
      <c r="M129" s="775"/>
      <c r="N129" s="775"/>
      <c r="O129" s="775"/>
      <c r="P129" s="776"/>
    </row>
    <row r="130" spans="1:16" s="425" customFormat="1" ht="42" hidden="1" customHeight="1">
      <c r="A130" s="723"/>
      <c r="B130" s="737" t="s">
        <v>2572</v>
      </c>
      <c r="C130" s="772"/>
      <c r="D130" s="773"/>
      <c r="E130" s="767"/>
      <c r="F130" s="767"/>
      <c r="G130" s="767"/>
      <c r="H130" s="767">
        <v>2.5</v>
      </c>
      <c r="I130" s="767"/>
      <c r="J130" s="774"/>
      <c r="K130" s="1499"/>
      <c r="L130" s="776"/>
      <c r="M130" s="775"/>
      <c r="N130" s="775"/>
      <c r="O130" s="775"/>
      <c r="P130" s="776"/>
    </row>
    <row r="131" spans="1:16" s="425" customFormat="1" ht="27.65" hidden="1" customHeight="1">
      <c r="A131" s="723"/>
      <c r="B131" s="737" t="s">
        <v>2573</v>
      </c>
      <c r="C131" s="772"/>
      <c r="D131" s="773"/>
      <c r="E131" s="767"/>
      <c r="F131" s="767"/>
      <c r="G131" s="767"/>
      <c r="H131" s="767"/>
      <c r="I131" s="767"/>
      <c r="J131" s="774"/>
      <c r="K131" s="1499"/>
      <c r="L131" s="776"/>
      <c r="M131" s="775"/>
      <c r="N131" s="775"/>
      <c r="O131" s="775"/>
      <c r="P131" s="776"/>
    </row>
    <row r="132" spans="1:16" s="425" customFormat="1" ht="25.95" hidden="1" customHeight="1">
      <c r="A132" s="723"/>
      <c r="B132" s="737" t="s">
        <v>2574</v>
      </c>
      <c r="C132" s="772"/>
      <c r="D132" s="773"/>
      <c r="E132" s="767"/>
      <c r="F132" s="767"/>
      <c r="G132" s="767"/>
      <c r="H132" s="767"/>
      <c r="I132" s="767"/>
      <c r="J132" s="774"/>
      <c r="K132" s="1499"/>
      <c r="L132" s="776"/>
      <c r="M132" s="775"/>
      <c r="N132" s="775"/>
      <c r="O132" s="775"/>
      <c r="P132" s="776"/>
    </row>
    <row r="133" spans="1:16" s="425" customFormat="1" ht="25.95" hidden="1" customHeight="1">
      <c r="A133" s="723"/>
      <c r="B133" s="737" t="s">
        <v>2575</v>
      </c>
      <c r="C133" s="772"/>
      <c r="D133" s="773"/>
      <c r="E133" s="767"/>
      <c r="F133" s="767"/>
      <c r="G133" s="767"/>
      <c r="H133" s="767">
        <v>4.7</v>
      </c>
      <c r="I133" s="767"/>
      <c r="J133" s="774"/>
      <c r="K133" s="1499"/>
      <c r="L133" s="776"/>
      <c r="M133" s="775"/>
      <c r="N133" s="775"/>
      <c r="O133" s="775"/>
      <c r="P133" s="776"/>
    </row>
    <row r="134" spans="1:16" s="425" customFormat="1" ht="25.95" hidden="1" customHeight="1">
      <c r="A134" s="723"/>
      <c r="B134" s="737" t="s">
        <v>2576</v>
      </c>
      <c r="C134" s="772"/>
      <c r="D134" s="773"/>
      <c r="E134" s="767"/>
      <c r="F134" s="767"/>
      <c r="G134" s="767"/>
      <c r="H134" s="767">
        <v>10</v>
      </c>
      <c r="I134" s="767"/>
      <c r="J134" s="774"/>
      <c r="K134" s="1499"/>
      <c r="L134" s="776"/>
      <c r="M134" s="775"/>
      <c r="N134" s="775"/>
      <c r="O134" s="775"/>
      <c r="P134" s="776"/>
    </row>
    <row r="135" spans="1:16" s="425" customFormat="1" ht="33.75" customHeight="1">
      <c r="A135" s="1665" t="s">
        <v>2666</v>
      </c>
      <c r="B135" s="1667" t="s">
        <v>620</v>
      </c>
      <c r="C135" s="1673">
        <v>188711925</v>
      </c>
      <c r="D135" s="777" t="s">
        <v>668</v>
      </c>
      <c r="E135" s="701">
        <v>20</v>
      </c>
      <c r="F135" s="701">
        <v>20</v>
      </c>
      <c r="G135" s="701">
        <v>0</v>
      </c>
      <c r="H135" s="701">
        <v>15</v>
      </c>
      <c r="I135" s="702">
        <f>G135/F135</f>
        <v>0</v>
      </c>
      <c r="J135" s="1657" t="s">
        <v>2199</v>
      </c>
      <c r="K135" s="1640" t="s">
        <v>3750</v>
      </c>
      <c r="L135" s="1637" t="s">
        <v>349</v>
      </c>
      <c r="M135" s="1643" t="s">
        <v>876</v>
      </c>
      <c r="N135" s="1647">
        <v>70</v>
      </c>
      <c r="O135" s="1647">
        <v>50</v>
      </c>
      <c r="P135" s="1637" t="s">
        <v>3545</v>
      </c>
    </row>
    <row r="136" spans="1:16" s="425" customFormat="1" ht="38.25" customHeight="1">
      <c r="A136" s="1671"/>
      <c r="B136" s="1672"/>
      <c r="C136" s="1674"/>
      <c r="D136" s="778" t="s">
        <v>1321</v>
      </c>
      <c r="E136" s="706">
        <f>E135</f>
        <v>20</v>
      </c>
      <c r="F136" s="706">
        <f>F135</f>
        <v>20</v>
      </c>
      <c r="G136" s="706">
        <f>G135</f>
        <v>0</v>
      </c>
      <c r="H136" s="706">
        <f>H135</f>
        <v>15</v>
      </c>
      <c r="I136" s="707">
        <f>G136/F136</f>
        <v>0</v>
      </c>
      <c r="J136" s="1658"/>
      <c r="K136" s="1641"/>
      <c r="L136" s="1639"/>
      <c r="M136" s="1645"/>
      <c r="N136" s="1649"/>
      <c r="O136" s="1649"/>
      <c r="P136" s="1639"/>
    </row>
    <row r="137" spans="1:16" s="425" customFormat="1" ht="30.75" customHeight="1">
      <c r="A137" s="1665" t="s">
        <v>2665</v>
      </c>
      <c r="B137" s="1667" t="s">
        <v>2806</v>
      </c>
      <c r="C137" s="1669">
        <v>188711925</v>
      </c>
      <c r="D137" s="724" t="s">
        <v>668</v>
      </c>
      <c r="E137" s="701">
        <v>12</v>
      </c>
      <c r="F137" s="701">
        <v>12</v>
      </c>
      <c r="G137" s="701">
        <v>6.05</v>
      </c>
      <c r="H137" s="701"/>
      <c r="I137" s="702">
        <f>G137/F137</f>
        <v>0.50416666666666665</v>
      </c>
      <c r="J137" s="1658"/>
      <c r="K137" s="1640" t="s">
        <v>2934</v>
      </c>
      <c r="L137" s="1637" t="s">
        <v>350</v>
      </c>
      <c r="M137" s="1643" t="s">
        <v>3499</v>
      </c>
      <c r="N137" s="1703">
        <v>2</v>
      </c>
      <c r="O137" s="1703">
        <v>2</v>
      </c>
      <c r="P137" s="1637" t="s">
        <v>3544</v>
      </c>
    </row>
    <row r="138" spans="1:16" s="425" customFormat="1" ht="35.25" hidden="1" customHeight="1">
      <c r="A138" s="1666"/>
      <c r="B138" s="1668"/>
      <c r="C138" s="1670"/>
      <c r="D138" s="724" t="s">
        <v>341</v>
      </c>
      <c r="E138" s="701"/>
      <c r="F138" s="701"/>
      <c r="G138" s="701"/>
      <c r="H138" s="701"/>
      <c r="I138" s="702"/>
      <c r="J138" s="1658"/>
      <c r="K138" s="1709"/>
      <c r="L138" s="1638"/>
      <c r="M138" s="1748"/>
      <c r="N138" s="1712"/>
      <c r="O138" s="1712"/>
      <c r="P138" s="1638"/>
    </row>
    <row r="139" spans="1:16" s="425" customFormat="1" ht="40.5" customHeight="1">
      <c r="A139" s="1671"/>
      <c r="B139" s="1672"/>
      <c r="C139" s="1675"/>
      <c r="D139" s="727" t="s">
        <v>1321</v>
      </c>
      <c r="E139" s="706">
        <f>E137</f>
        <v>12</v>
      </c>
      <c r="F139" s="706">
        <f>F137</f>
        <v>12</v>
      </c>
      <c r="G139" s="706">
        <f>G137</f>
        <v>6.05</v>
      </c>
      <c r="H139" s="706">
        <f>H137+H138</f>
        <v>0</v>
      </c>
      <c r="I139" s="707">
        <f>G139/F139</f>
        <v>0.50416666666666665</v>
      </c>
      <c r="J139" s="1658"/>
      <c r="K139" s="1708"/>
      <c r="L139" s="1639"/>
      <c r="M139" s="1749"/>
      <c r="N139" s="1704"/>
      <c r="O139" s="1704"/>
      <c r="P139" s="1639"/>
    </row>
    <row r="140" spans="1:16" s="425" customFormat="1" ht="33.75" customHeight="1">
      <c r="A140" s="1665" t="s">
        <v>2664</v>
      </c>
      <c r="B140" s="1667" t="s">
        <v>1328</v>
      </c>
      <c r="C140" s="1669">
        <v>188711925</v>
      </c>
      <c r="D140" s="724" t="s">
        <v>668</v>
      </c>
      <c r="E140" s="701">
        <v>5</v>
      </c>
      <c r="F140" s="701">
        <v>5</v>
      </c>
      <c r="G140" s="701">
        <v>0</v>
      </c>
      <c r="H140" s="701">
        <v>0</v>
      </c>
      <c r="I140" s="701">
        <f>G140/F140</f>
        <v>0</v>
      </c>
      <c r="J140" s="1658"/>
      <c r="K140" s="1640" t="s">
        <v>3560</v>
      </c>
      <c r="L140" s="1637" t="s">
        <v>3495</v>
      </c>
      <c r="M140" s="1643" t="s">
        <v>1339</v>
      </c>
      <c r="N140" s="1647">
        <v>10</v>
      </c>
      <c r="O140" s="1647" t="s">
        <v>2936</v>
      </c>
      <c r="P140" s="1637" t="s">
        <v>3545</v>
      </c>
    </row>
    <row r="141" spans="1:16" s="425" customFormat="1" ht="31.5" customHeight="1">
      <c r="A141" s="1666"/>
      <c r="B141" s="1668"/>
      <c r="C141" s="1670"/>
      <c r="D141" s="724" t="s">
        <v>341</v>
      </c>
      <c r="E141" s="701"/>
      <c r="F141" s="701"/>
      <c r="G141" s="701"/>
      <c r="H141" s="701"/>
      <c r="I141" s="643"/>
      <c r="J141" s="1658"/>
      <c r="K141" s="1642"/>
      <c r="L141" s="1638"/>
      <c r="M141" s="1644"/>
      <c r="N141" s="1648"/>
      <c r="O141" s="1648"/>
      <c r="P141" s="1638"/>
    </row>
    <row r="142" spans="1:16" s="425" customFormat="1" ht="35.25" customHeight="1">
      <c r="A142" s="1671"/>
      <c r="B142" s="1672"/>
      <c r="C142" s="1675"/>
      <c r="D142" s="727" t="s">
        <v>1321</v>
      </c>
      <c r="E142" s="706">
        <f>E140</f>
        <v>5</v>
      </c>
      <c r="F142" s="706">
        <f>F140</f>
        <v>5</v>
      </c>
      <c r="G142" s="706">
        <f>G140</f>
        <v>0</v>
      </c>
      <c r="H142" s="706">
        <f>H140+H141</f>
        <v>0</v>
      </c>
      <c r="I142" s="706">
        <f>G142/F142</f>
        <v>0</v>
      </c>
      <c r="J142" s="1658"/>
      <c r="K142" s="1641"/>
      <c r="L142" s="1639"/>
      <c r="M142" s="1645"/>
      <c r="N142" s="1649"/>
      <c r="O142" s="1649"/>
      <c r="P142" s="1639"/>
    </row>
    <row r="143" spans="1:16" s="425" customFormat="1" ht="33" customHeight="1">
      <c r="A143" s="1665" t="s">
        <v>2663</v>
      </c>
      <c r="B143" s="1667" t="s">
        <v>977</v>
      </c>
      <c r="C143" s="1669" t="s">
        <v>1325</v>
      </c>
      <c r="D143" s="724" t="s">
        <v>668</v>
      </c>
      <c r="E143" s="701">
        <v>33.006</v>
      </c>
      <c r="F143" s="701">
        <f>SUM(F146:F161)</f>
        <v>33.005999999999993</v>
      </c>
      <c r="G143" s="701">
        <f>SUM(G146:G161)</f>
        <v>30.899000000000012</v>
      </c>
      <c r="H143" s="701">
        <f>SUM(H146:H146)</f>
        <v>31.79</v>
      </c>
      <c r="I143" s="756">
        <f>G143/F143</f>
        <v>0.93616312185663264</v>
      </c>
      <c r="J143" s="1658"/>
      <c r="K143" s="1640" t="s">
        <v>3622</v>
      </c>
      <c r="L143" s="1637" t="s">
        <v>3496</v>
      </c>
      <c r="M143" s="1643" t="s">
        <v>2935</v>
      </c>
      <c r="N143" s="1647">
        <v>100</v>
      </c>
      <c r="O143" s="1647">
        <v>94</v>
      </c>
      <c r="P143" s="1637" t="s">
        <v>3545</v>
      </c>
    </row>
    <row r="144" spans="1:16" s="425" customFormat="1" ht="29.25" hidden="1" customHeight="1">
      <c r="A144" s="1666"/>
      <c r="B144" s="1668"/>
      <c r="C144" s="1670"/>
      <c r="D144" s="724" t="s">
        <v>341</v>
      </c>
      <c r="E144" s="701"/>
      <c r="F144" s="701"/>
      <c r="G144" s="701"/>
      <c r="H144" s="701"/>
      <c r="I144" s="725"/>
      <c r="J144" s="1658"/>
      <c r="K144" s="1642"/>
      <c r="L144" s="1638"/>
      <c r="M144" s="1644"/>
      <c r="N144" s="1648"/>
      <c r="O144" s="1648"/>
      <c r="P144" s="1638"/>
    </row>
    <row r="145" spans="1:16" s="425" customFormat="1" ht="45.75" customHeight="1">
      <c r="A145" s="1671"/>
      <c r="B145" s="1672"/>
      <c r="C145" s="1675"/>
      <c r="D145" s="727" t="s">
        <v>1321</v>
      </c>
      <c r="E145" s="706">
        <f>E143</f>
        <v>33.006</v>
      </c>
      <c r="F145" s="706">
        <f>F143</f>
        <v>33.005999999999993</v>
      </c>
      <c r="G145" s="706">
        <f>G143</f>
        <v>30.899000000000012</v>
      </c>
      <c r="H145" s="706">
        <f>H143+H144</f>
        <v>31.79</v>
      </c>
      <c r="I145" s="707">
        <f>G145/F145</f>
        <v>0.93616312185663264</v>
      </c>
      <c r="J145" s="1664"/>
      <c r="K145" s="1641"/>
      <c r="L145" s="1639"/>
      <c r="M145" s="1645"/>
      <c r="N145" s="1649"/>
      <c r="O145" s="1649"/>
      <c r="P145" s="1639"/>
    </row>
    <row r="146" spans="1:16" s="425" customFormat="1" ht="14.25" hidden="1" customHeight="1">
      <c r="A146" s="779"/>
      <c r="B146" s="780" t="s">
        <v>2545</v>
      </c>
      <c r="C146" s="781"/>
      <c r="D146" s="782"/>
      <c r="E146" s="783"/>
      <c r="F146" s="783">
        <v>27.638000000000002</v>
      </c>
      <c r="G146" s="783">
        <v>26.751999999999999</v>
      </c>
      <c r="H146" s="475">
        <v>31.79</v>
      </c>
      <c r="I146" s="784"/>
      <c r="J146" s="785"/>
      <c r="K146" s="1500"/>
      <c r="L146" s="787"/>
      <c r="M146" s="786"/>
      <c r="N146" s="786"/>
      <c r="O146" s="786"/>
      <c r="P146" s="787"/>
    </row>
    <row r="147" spans="1:16" s="425" customFormat="1" ht="11.25" hidden="1" customHeight="1">
      <c r="A147" s="788"/>
      <c r="B147" s="789" t="s">
        <v>2855</v>
      </c>
      <c r="C147" s="781"/>
      <c r="D147" s="782"/>
      <c r="E147" s="790"/>
      <c r="F147" s="790">
        <v>0.23300000000000001</v>
      </c>
      <c r="G147" s="790">
        <v>0.222</v>
      </c>
      <c r="H147" s="653"/>
      <c r="I147" s="791"/>
      <c r="J147" s="785"/>
      <c r="K147" s="1500"/>
      <c r="L147" s="787"/>
      <c r="M147" s="786"/>
      <c r="N147" s="786"/>
      <c r="O147" s="786"/>
      <c r="P147" s="787"/>
    </row>
    <row r="148" spans="1:16" s="425" customFormat="1" ht="12.75" hidden="1" customHeight="1">
      <c r="A148" s="788"/>
      <c r="B148" s="789" t="s">
        <v>1579</v>
      </c>
      <c r="C148" s="781"/>
      <c r="D148" s="782"/>
      <c r="E148" s="790"/>
      <c r="F148" s="790">
        <v>0.23300000000000001</v>
      </c>
      <c r="G148" s="790">
        <v>0.222</v>
      </c>
      <c r="H148" s="653"/>
      <c r="I148" s="791"/>
      <c r="J148" s="785"/>
      <c r="K148" s="1500"/>
      <c r="L148" s="787"/>
      <c r="M148" s="786"/>
      <c r="N148" s="786"/>
      <c r="O148" s="786"/>
      <c r="P148" s="787"/>
    </row>
    <row r="149" spans="1:16" s="425" customFormat="1" ht="12.75" hidden="1" customHeight="1">
      <c r="A149" s="788"/>
      <c r="B149" s="789" t="s">
        <v>1575</v>
      </c>
      <c r="C149" s="781"/>
      <c r="D149" s="782"/>
      <c r="E149" s="790"/>
      <c r="F149" s="790">
        <v>0.23300000000000001</v>
      </c>
      <c r="G149" s="790">
        <v>0.222</v>
      </c>
      <c r="H149" s="653"/>
      <c r="I149" s="791"/>
      <c r="J149" s="785"/>
      <c r="K149" s="1500"/>
      <c r="L149" s="787"/>
      <c r="M149" s="786"/>
      <c r="N149" s="786"/>
      <c r="O149" s="786"/>
      <c r="P149" s="787"/>
    </row>
    <row r="150" spans="1:16" s="425" customFormat="1" ht="13.5" hidden="1" customHeight="1">
      <c r="A150" s="788"/>
      <c r="B150" s="789" t="s">
        <v>1576</v>
      </c>
      <c r="C150" s="781"/>
      <c r="D150" s="782"/>
      <c r="E150" s="790"/>
      <c r="F150" s="790">
        <v>0.26700000000000002</v>
      </c>
      <c r="G150" s="790">
        <v>0.222</v>
      </c>
      <c r="H150" s="653"/>
      <c r="I150" s="791"/>
      <c r="J150" s="785"/>
      <c r="K150" s="1500"/>
      <c r="L150" s="787"/>
      <c r="M150" s="786"/>
      <c r="N150" s="786"/>
      <c r="O150" s="786"/>
      <c r="P150" s="787"/>
    </row>
    <row r="151" spans="1:16" s="425" customFormat="1" ht="15" hidden="1" customHeight="1">
      <c r="A151" s="788"/>
      <c r="B151" s="789" t="s">
        <v>1577</v>
      </c>
      <c r="C151" s="781"/>
      <c r="D151" s="782"/>
      <c r="E151" s="790"/>
      <c r="F151" s="790">
        <v>0.23300000000000001</v>
      </c>
      <c r="G151" s="790">
        <v>0.222</v>
      </c>
      <c r="H151" s="653"/>
      <c r="I151" s="791"/>
      <c r="J151" s="785"/>
      <c r="K151" s="1500"/>
      <c r="L151" s="787"/>
      <c r="M151" s="786"/>
      <c r="N151" s="786"/>
      <c r="O151" s="786"/>
      <c r="P151" s="787"/>
    </row>
    <row r="152" spans="1:16" s="425" customFormat="1" ht="13.5" hidden="1" customHeight="1">
      <c r="A152" s="788"/>
      <c r="B152" s="789" t="s">
        <v>1551</v>
      </c>
      <c r="C152" s="781"/>
      <c r="D152" s="782"/>
      <c r="E152" s="790"/>
      <c r="F152" s="790">
        <v>0.26700000000000002</v>
      </c>
      <c r="G152" s="790">
        <v>0.252</v>
      </c>
      <c r="H152" s="653"/>
      <c r="I152" s="791"/>
      <c r="J152" s="785"/>
      <c r="K152" s="1500"/>
      <c r="L152" s="787"/>
      <c r="M152" s="786"/>
      <c r="N152" s="786"/>
      <c r="O152" s="786"/>
      <c r="P152" s="787"/>
    </row>
    <row r="153" spans="1:16" s="425" customFormat="1" ht="13.5" hidden="1" customHeight="1">
      <c r="A153" s="788"/>
      <c r="B153" s="789" t="s">
        <v>1668</v>
      </c>
      <c r="C153" s="781"/>
      <c r="D153" s="782"/>
      <c r="E153" s="790"/>
      <c r="F153" s="790">
        <v>1.9359999999999999</v>
      </c>
      <c r="G153" s="790">
        <v>0.99199999999999999</v>
      </c>
      <c r="H153" s="653"/>
      <c r="I153" s="791"/>
      <c r="J153" s="785"/>
      <c r="K153" s="1500"/>
      <c r="L153" s="787"/>
      <c r="M153" s="786"/>
      <c r="N153" s="786"/>
      <c r="O153" s="786"/>
      <c r="P153" s="787"/>
    </row>
    <row r="154" spans="1:16" s="425" customFormat="1" ht="27.75" hidden="1" customHeight="1">
      <c r="A154" s="788"/>
      <c r="B154" s="789" t="s">
        <v>1584</v>
      </c>
      <c r="C154" s="781"/>
      <c r="D154" s="782"/>
      <c r="E154" s="790"/>
      <c r="F154" s="790">
        <v>0.26700000000000002</v>
      </c>
      <c r="G154" s="790">
        <v>0.222</v>
      </c>
      <c r="H154" s="653"/>
      <c r="I154" s="791"/>
      <c r="J154" s="785"/>
      <c r="K154" s="1500"/>
      <c r="L154" s="787"/>
      <c r="M154" s="786"/>
      <c r="N154" s="786"/>
      <c r="O154" s="786"/>
      <c r="P154" s="787"/>
    </row>
    <row r="155" spans="1:16" s="425" customFormat="1" ht="15" hidden="1" customHeight="1">
      <c r="A155" s="788"/>
      <c r="B155" s="789" t="s">
        <v>2886</v>
      </c>
      <c r="C155" s="781"/>
      <c r="D155" s="782"/>
      <c r="E155" s="790"/>
      <c r="F155" s="790">
        <v>0.26700000000000002</v>
      </c>
      <c r="G155" s="790">
        <v>0.24099999999999999</v>
      </c>
      <c r="H155" s="653"/>
      <c r="I155" s="791"/>
      <c r="J155" s="785"/>
      <c r="K155" s="1500"/>
      <c r="L155" s="787"/>
      <c r="M155" s="786"/>
      <c r="N155" s="786"/>
      <c r="O155" s="786"/>
      <c r="P155" s="787"/>
    </row>
    <row r="156" spans="1:16" s="425" customFormat="1" ht="13.5" hidden="1" customHeight="1">
      <c r="A156" s="788"/>
      <c r="B156" s="789" t="s">
        <v>2871</v>
      </c>
      <c r="C156" s="781"/>
      <c r="D156" s="782"/>
      <c r="E156" s="790"/>
      <c r="F156" s="790">
        <v>0.23300000000000001</v>
      </c>
      <c r="G156" s="790">
        <v>0.222</v>
      </c>
      <c r="H156" s="653"/>
      <c r="I156" s="791"/>
      <c r="J156" s="785"/>
      <c r="K156" s="1500"/>
      <c r="L156" s="787"/>
      <c r="M156" s="786"/>
      <c r="N156" s="786"/>
      <c r="O156" s="786"/>
      <c r="P156" s="787"/>
    </row>
    <row r="157" spans="1:16" s="425" customFormat="1" ht="15" hidden="1" customHeight="1">
      <c r="A157" s="788"/>
      <c r="B157" s="789" t="s">
        <v>1583</v>
      </c>
      <c r="C157" s="781"/>
      <c r="D157" s="782"/>
      <c r="E157" s="790"/>
      <c r="F157" s="790">
        <v>0.23300000000000001</v>
      </c>
      <c r="G157" s="790">
        <v>0.222</v>
      </c>
      <c r="H157" s="653"/>
      <c r="I157" s="791"/>
      <c r="J157" s="785"/>
      <c r="K157" s="1500"/>
      <c r="L157" s="787"/>
      <c r="M157" s="786"/>
      <c r="N157" s="786"/>
      <c r="O157" s="786"/>
      <c r="P157" s="787"/>
    </row>
    <row r="158" spans="1:16" s="425" customFormat="1" ht="17.25" hidden="1" customHeight="1">
      <c r="A158" s="788"/>
      <c r="B158" s="789" t="s">
        <v>1580</v>
      </c>
      <c r="C158" s="781"/>
      <c r="D158" s="782"/>
      <c r="E158" s="790"/>
      <c r="F158" s="790">
        <v>0.23300000000000001</v>
      </c>
      <c r="G158" s="790">
        <v>0.222</v>
      </c>
      <c r="H158" s="653"/>
      <c r="I158" s="791"/>
      <c r="J158" s="785"/>
      <c r="K158" s="1500"/>
      <c r="L158" s="787"/>
      <c r="M158" s="786"/>
      <c r="N158" s="786"/>
      <c r="O158" s="786"/>
      <c r="P158" s="787"/>
    </row>
    <row r="159" spans="1:16" s="425" customFormat="1" ht="15" hidden="1" customHeight="1">
      <c r="A159" s="788"/>
      <c r="B159" s="789" t="s">
        <v>1582</v>
      </c>
      <c r="C159" s="781"/>
      <c r="D159" s="782"/>
      <c r="E159" s="790"/>
      <c r="F159" s="790">
        <v>0.26700000000000002</v>
      </c>
      <c r="G159" s="790">
        <v>0.22</v>
      </c>
      <c r="H159" s="653"/>
      <c r="I159" s="791"/>
      <c r="J159" s="785"/>
      <c r="K159" s="1500"/>
      <c r="L159" s="787"/>
      <c r="M159" s="786"/>
      <c r="N159" s="786"/>
      <c r="O159" s="786"/>
      <c r="P159" s="787"/>
    </row>
    <row r="160" spans="1:16" s="425" customFormat="1" ht="15.75" hidden="1" customHeight="1">
      <c r="A160" s="788"/>
      <c r="B160" s="789" t="s">
        <v>1581</v>
      </c>
      <c r="C160" s="781"/>
      <c r="D160" s="782"/>
      <c r="E160" s="790"/>
      <c r="F160" s="790">
        <v>0.23300000000000001</v>
      </c>
      <c r="G160" s="790">
        <v>0.222</v>
      </c>
      <c r="H160" s="653"/>
      <c r="I160" s="791"/>
      <c r="J160" s="785"/>
      <c r="K160" s="1500"/>
      <c r="L160" s="787"/>
      <c r="M160" s="786"/>
      <c r="N160" s="786"/>
      <c r="O160" s="786"/>
      <c r="P160" s="787"/>
    </row>
    <row r="161" spans="1:16" s="425" customFormat="1" ht="13.5" hidden="1" customHeight="1">
      <c r="A161" s="788"/>
      <c r="B161" s="789" t="s">
        <v>1552</v>
      </c>
      <c r="C161" s="781"/>
      <c r="D161" s="782"/>
      <c r="E161" s="790"/>
      <c r="F161" s="790">
        <v>0.23300000000000001</v>
      </c>
      <c r="G161" s="790">
        <v>0.222</v>
      </c>
      <c r="H161" s="653"/>
      <c r="I161" s="791"/>
      <c r="J161" s="785"/>
      <c r="K161" s="1500"/>
      <c r="L161" s="787"/>
      <c r="M161" s="786"/>
      <c r="N161" s="786"/>
      <c r="O161" s="786"/>
      <c r="P161" s="787"/>
    </row>
    <row r="162" spans="1:16" s="425" customFormat="1" ht="30.75" customHeight="1">
      <c r="A162" s="1665" t="s">
        <v>2828</v>
      </c>
      <c r="B162" s="1667" t="s">
        <v>3327</v>
      </c>
      <c r="C162" s="1669">
        <v>188711925</v>
      </c>
      <c r="D162" s="724" t="s">
        <v>66</v>
      </c>
      <c r="E162" s="734">
        <v>143.99</v>
      </c>
      <c r="F162" s="734">
        <v>143.99</v>
      </c>
      <c r="G162" s="734">
        <v>50.82</v>
      </c>
      <c r="H162" s="734">
        <v>121</v>
      </c>
      <c r="I162" s="702">
        <f>G162/F162</f>
        <v>0.3529411764705882</v>
      </c>
      <c r="J162" s="1657" t="s">
        <v>2208</v>
      </c>
      <c r="K162" s="1640" t="s">
        <v>3561</v>
      </c>
      <c r="L162" s="1637" t="s">
        <v>3497</v>
      </c>
      <c r="M162" s="1643" t="s">
        <v>2937</v>
      </c>
      <c r="N162" s="1647">
        <v>2</v>
      </c>
      <c r="O162" s="1647">
        <v>1</v>
      </c>
      <c r="P162" s="1637" t="s">
        <v>3545</v>
      </c>
    </row>
    <row r="163" spans="1:16" s="425" customFormat="1" ht="31.5" hidden="1" customHeight="1">
      <c r="A163" s="1666"/>
      <c r="B163" s="1668"/>
      <c r="C163" s="1670"/>
      <c r="D163" s="724" t="s">
        <v>341</v>
      </c>
      <c r="E163" s="701"/>
      <c r="F163" s="701"/>
      <c r="G163" s="701"/>
      <c r="H163" s="701"/>
      <c r="I163" s="701"/>
      <c r="J163" s="1658"/>
      <c r="K163" s="1642"/>
      <c r="L163" s="1638"/>
      <c r="M163" s="1644"/>
      <c r="N163" s="1648"/>
      <c r="O163" s="1648"/>
      <c r="P163" s="1638"/>
    </row>
    <row r="164" spans="1:16" s="425" customFormat="1" ht="41.25" customHeight="1">
      <c r="A164" s="1666"/>
      <c r="B164" s="1668"/>
      <c r="C164" s="1670"/>
      <c r="D164" s="730" t="s">
        <v>1321</v>
      </c>
      <c r="E164" s="731">
        <f>E162</f>
        <v>143.99</v>
      </c>
      <c r="F164" s="731">
        <f>F162</f>
        <v>143.99</v>
      </c>
      <c r="G164" s="731">
        <f>G162</f>
        <v>50.82</v>
      </c>
      <c r="H164" s="731">
        <f>H162+H163</f>
        <v>121</v>
      </c>
      <c r="I164" s="746">
        <f>G164/F164</f>
        <v>0.3529411764705882</v>
      </c>
      <c r="J164" s="1664"/>
      <c r="K164" s="1642"/>
      <c r="L164" s="1638"/>
      <c r="M164" s="1645"/>
      <c r="N164" s="1649"/>
      <c r="O164" s="1649"/>
      <c r="P164" s="1638"/>
    </row>
    <row r="165" spans="1:16" s="449" customFormat="1" ht="42.65" customHeight="1">
      <c r="A165" s="501" t="s">
        <v>1945</v>
      </c>
      <c r="B165" s="496" t="s">
        <v>373</v>
      </c>
      <c r="C165" s="690"/>
      <c r="D165" s="501"/>
      <c r="E165" s="502">
        <f t="shared" ref="E165:H165" si="19">SUM(E169)</f>
        <v>17</v>
      </c>
      <c r="F165" s="502">
        <f t="shared" si="19"/>
        <v>17</v>
      </c>
      <c r="G165" s="502">
        <f t="shared" si="19"/>
        <v>0</v>
      </c>
      <c r="H165" s="698">
        <f t="shared" si="19"/>
        <v>5</v>
      </c>
      <c r="I165" s="502">
        <f>G165/F165</f>
        <v>0</v>
      </c>
      <c r="J165" s="698"/>
      <c r="K165" s="1676"/>
      <c r="L165" s="1677"/>
      <c r="M165" s="1677"/>
      <c r="N165" s="1677"/>
      <c r="O165" s="1677"/>
      <c r="P165" s="1677"/>
    </row>
    <row r="166" spans="1:16" s="425" customFormat="1" ht="30.75" customHeight="1">
      <c r="A166" s="1666" t="s">
        <v>2662</v>
      </c>
      <c r="B166" s="1694" t="s">
        <v>963</v>
      </c>
      <c r="C166" s="1696">
        <v>188711925</v>
      </c>
      <c r="D166" s="657" t="s">
        <v>668</v>
      </c>
      <c r="E166" s="701">
        <v>17</v>
      </c>
      <c r="F166" s="701">
        <v>17</v>
      </c>
      <c r="G166" s="701">
        <v>0</v>
      </c>
      <c r="H166" s="701">
        <v>5</v>
      </c>
      <c r="I166" s="701">
        <f>G166/F166</f>
        <v>0</v>
      </c>
      <c r="J166" s="1657" t="s">
        <v>2208</v>
      </c>
      <c r="K166" s="1642" t="s">
        <v>3623</v>
      </c>
      <c r="L166" s="1638" t="s">
        <v>838</v>
      </c>
      <c r="M166" s="1643" t="s">
        <v>2894</v>
      </c>
      <c r="N166" s="1647">
        <v>2</v>
      </c>
      <c r="O166" s="1647">
        <v>3</v>
      </c>
      <c r="P166" s="1638" t="s">
        <v>3544</v>
      </c>
    </row>
    <row r="167" spans="1:16" s="425" customFormat="1" ht="30.75" hidden="1" customHeight="1">
      <c r="A167" s="1666"/>
      <c r="B167" s="1694"/>
      <c r="C167" s="1696"/>
      <c r="D167" s="657" t="s">
        <v>341</v>
      </c>
      <c r="E167" s="701"/>
      <c r="F167" s="701"/>
      <c r="G167" s="701"/>
      <c r="H167" s="701"/>
      <c r="I167" s="792"/>
      <c r="J167" s="1658"/>
      <c r="K167" s="1642"/>
      <c r="L167" s="1638"/>
      <c r="M167" s="1644"/>
      <c r="N167" s="1648"/>
      <c r="O167" s="1648"/>
      <c r="P167" s="1638"/>
    </row>
    <row r="168" spans="1:16" s="425" customFormat="1" ht="29.25" hidden="1" customHeight="1">
      <c r="A168" s="1666"/>
      <c r="B168" s="1694"/>
      <c r="C168" s="1696"/>
      <c r="D168" s="657" t="s">
        <v>587</v>
      </c>
      <c r="E168" s="701"/>
      <c r="F168" s="701"/>
      <c r="G168" s="701"/>
      <c r="H168" s="701"/>
      <c r="I168" s="792"/>
      <c r="J168" s="1658"/>
      <c r="K168" s="1642"/>
      <c r="L168" s="1638"/>
      <c r="M168" s="1644"/>
      <c r="N168" s="1648"/>
      <c r="O168" s="1648"/>
      <c r="P168" s="1638"/>
    </row>
    <row r="169" spans="1:16" s="425" customFormat="1" ht="35.25" customHeight="1">
      <c r="A169" s="1671"/>
      <c r="B169" s="1695"/>
      <c r="C169" s="1696"/>
      <c r="D169" s="705" t="s">
        <v>1321</v>
      </c>
      <c r="E169" s="706">
        <f>E166</f>
        <v>17</v>
      </c>
      <c r="F169" s="706">
        <f>F166</f>
        <v>17</v>
      </c>
      <c r="G169" s="706">
        <f>G166</f>
        <v>0</v>
      </c>
      <c r="H169" s="706">
        <f>H166+H167+H168</f>
        <v>5</v>
      </c>
      <c r="I169" s="706">
        <f>G169/F169</f>
        <v>0</v>
      </c>
      <c r="J169" s="1658"/>
      <c r="K169" s="1641"/>
      <c r="L169" s="1639"/>
      <c r="M169" s="1645"/>
      <c r="N169" s="1649"/>
      <c r="O169" s="1649"/>
      <c r="P169" s="1639"/>
    </row>
    <row r="170" spans="1:16" s="425" customFormat="1" ht="22.2" hidden="1" customHeight="1">
      <c r="A170" s="714"/>
      <c r="B170" s="793" t="s">
        <v>2756</v>
      </c>
      <c r="C170" s="794"/>
      <c r="D170" s="770"/>
      <c r="E170" s="719"/>
      <c r="F170" s="719"/>
      <c r="G170" s="719"/>
      <c r="H170" s="719"/>
      <c r="I170" s="719"/>
      <c r="J170" s="795"/>
      <c r="K170" s="1501"/>
      <c r="L170" s="797"/>
      <c r="M170" s="796"/>
      <c r="N170" s="796"/>
      <c r="O170" s="796"/>
      <c r="P170" s="797"/>
    </row>
    <row r="171" spans="1:16" s="449" customFormat="1" ht="63" customHeight="1">
      <c r="A171" s="694" t="s">
        <v>1946</v>
      </c>
      <c r="B171" s="699" t="s">
        <v>962</v>
      </c>
      <c r="C171" s="690"/>
      <c r="D171" s="501"/>
      <c r="E171" s="502">
        <f>SUM(E173,E181,E186,E188)</f>
        <v>96.589999999999989</v>
      </c>
      <c r="F171" s="502">
        <f>SUM(F173,F181,F186,F188)</f>
        <v>96.589999999999989</v>
      </c>
      <c r="G171" s="502">
        <f>SUM(G173,G181,G186,G188)</f>
        <v>70.158999999999992</v>
      </c>
      <c r="H171" s="502">
        <f>SUM(H173,H181,H186,H188)</f>
        <v>327.39999999999998</v>
      </c>
      <c r="I171" s="502">
        <f>G171/F171</f>
        <v>0.72635883631845943</v>
      </c>
      <c r="J171" s="502" t="s">
        <v>1224</v>
      </c>
      <c r="K171" s="1651"/>
      <c r="L171" s="1652"/>
      <c r="M171" s="1652"/>
      <c r="N171" s="1652"/>
      <c r="O171" s="1652"/>
      <c r="P171" s="1652"/>
    </row>
    <row r="172" spans="1:16" s="425" customFormat="1" ht="25.5" customHeight="1">
      <c r="A172" s="1665" t="s">
        <v>2661</v>
      </c>
      <c r="B172" s="1705" t="s">
        <v>347</v>
      </c>
      <c r="C172" s="1706">
        <v>188711925</v>
      </c>
      <c r="D172" s="657" t="s">
        <v>668</v>
      </c>
      <c r="E172" s="701">
        <v>33</v>
      </c>
      <c r="F172" s="701">
        <v>33</v>
      </c>
      <c r="G172" s="701">
        <v>13.378</v>
      </c>
      <c r="H172" s="701">
        <f>SUM(H174:H179)</f>
        <v>233.1</v>
      </c>
      <c r="I172" s="702">
        <f>G172/F172</f>
        <v>0.40539393939393942</v>
      </c>
      <c r="J172" s="1701" t="s">
        <v>2208</v>
      </c>
      <c r="K172" s="1640" t="s">
        <v>3624</v>
      </c>
      <c r="L172" s="1637" t="s">
        <v>838</v>
      </c>
      <c r="M172" s="1643" t="s">
        <v>2938</v>
      </c>
      <c r="N172" s="1703" t="s">
        <v>3274</v>
      </c>
      <c r="O172" s="1703" t="s">
        <v>3274</v>
      </c>
      <c r="P172" s="1637" t="s">
        <v>3544</v>
      </c>
    </row>
    <row r="173" spans="1:16" s="425" customFormat="1" ht="111" customHeight="1">
      <c r="A173" s="1671"/>
      <c r="B173" s="1695"/>
      <c r="C173" s="1707"/>
      <c r="D173" s="705" t="s">
        <v>1321</v>
      </c>
      <c r="E173" s="706">
        <f>E172</f>
        <v>33</v>
      </c>
      <c r="F173" s="706">
        <f>F172</f>
        <v>33</v>
      </c>
      <c r="G173" s="706">
        <f>G172</f>
        <v>13.378</v>
      </c>
      <c r="H173" s="706">
        <f t="shared" ref="H173" si="20">H172</f>
        <v>233.1</v>
      </c>
      <c r="I173" s="707">
        <f>G173/F173</f>
        <v>0.40539393939393942</v>
      </c>
      <c r="J173" s="1702"/>
      <c r="K173" s="1708"/>
      <c r="L173" s="1639"/>
      <c r="M173" s="1645"/>
      <c r="N173" s="1704"/>
      <c r="O173" s="1704"/>
      <c r="P173" s="1639"/>
    </row>
    <row r="174" spans="1:16" s="425" customFormat="1" ht="20.149999999999999" hidden="1" customHeight="1">
      <c r="A174" s="657"/>
      <c r="B174" s="799" t="s">
        <v>1331</v>
      </c>
      <c r="C174" s="800"/>
      <c r="D174" s="801" t="s">
        <v>668</v>
      </c>
      <c r="E174" s="466">
        <v>15</v>
      </c>
      <c r="F174" s="466"/>
      <c r="G174" s="466"/>
      <c r="H174" s="466"/>
      <c r="I174" s="466"/>
      <c r="J174" s="713"/>
      <c r="K174" s="1492"/>
      <c r="L174" s="720"/>
      <c r="M174" s="466"/>
      <c r="N174" s="466"/>
      <c r="O174" s="466"/>
      <c r="P174" s="720"/>
    </row>
    <row r="175" spans="1:16" s="425" customFormat="1" ht="28.95" hidden="1" customHeight="1">
      <c r="A175" s="657"/>
      <c r="B175" s="799" t="s">
        <v>2588</v>
      </c>
      <c r="C175" s="800"/>
      <c r="D175" s="801"/>
      <c r="E175" s="466"/>
      <c r="F175" s="466"/>
      <c r="G175" s="466"/>
      <c r="H175" s="466">
        <v>12.1</v>
      </c>
      <c r="I175" s="466"/>
      <c r="J175" s="713"/>
      <c r="K175" s="1492"/>
      <c r="L175" s="720"/>
      <c r="M175" s="466"/>
      <c r="N175" s="466"/>
      <c r="O175" s="466"/>
      <c r="P175" s="720"/>
    </row>
    <row r="176" spans="1:16" s="425" customFormat="1" ht="20.149999999999999" hidden="1" customHeight="1">
      <c r="A176" s="657"/>
      <c r="B176" s="799" t="s">
        <v>2577</v>
      </c>
      <c r="C176" s="800"/>
      <c r="D176" s="801"/>
      <c r="E176" s="466"/>
      <c r="F176" s="466"/>
      <c r="G176" s="466"/>
      <c r="H176" s="466">
        <v>15</v>
      </c>
      <c r="I176" s="466"/>
      <c r="J176" s="713"/>
      <c r="K176" s="1492"/>
      <c r="L176" s="720"/>
      <c r="M176" s="466"/>
      <c r="N176" s="466"/>
      <c r="O176" s="466"/>
      <c r="P176" s="720"/>
    </row>
    <row r="177" spans="1:16" s="425" customFormat="1" ht="20.149999999999999" hidden="1" customHeight="1">
      <c r="A177" s="657"/>
      <c r="B177" s="799" t="s">
        <v>2578</v>
      </c>
      <c r="C177" s="800"/>
      <c r="D177" s="801"/>
      <c r="E177" s="466"/>
      <c r="F177" s="466"/>
      <c r="G177" s="466"/>
      <c r="H177" s="466">
        <v>123</v>
      </c>
      <c r="I177" s="466"/>
      <c r="J177" s="713"/>
      <c r="K177" s="1492"/>
      <c r="L177" s="720"/>
      <c r="M177" s="466"/>
      <c r="N177" s="466"/>
      <c r="O177" s="466"/>
      <c r="P177" s="720"/>
    </row>
    <row r="178" spans="1:16" s="425" customFormat="1" ht="20.149999999999999" hidden="1" customHeight="1">
      <c r="A178" s="657"/>
      <c r="B178" s="799" t="s">
        <v>2579</v>
      </c>
      <c r="C178" s="800"/>
      <c r="D178" s="801"/>
      <c r="E178" s="466"/>
      <c r="F178" s="466"/>
      <c r="G178" s="466"/>
      <c r="H178" s="466">
        <v>50</v>
      </c>
      <c r="I178" s="466"/>
      <c r="J178" s="713"/>
      <c r="K178" s="1492"/>
      <c r="L178" s="720"/>
      <c r="M178" s="466"/>
      <c r="N178" s="466"/>
      <c r="O178" s="466"/>
      <c r="P178" s="720"/>
    </row>
    <row r="179" spans="1:16" s="425" customFormat="1" ht="26.5" hidden="1" customHeight="1">
      <c r="A179" s="657"/>
      <c r="B179" s="641" t="s">
        <v>2580</v>
      </c>
      <c r="C179" s="802"/>
      <c r="D179" s="738" t="s">
        <v>668</v>
      </c>
      <c r="E179" s="464">
        <v>18</v>
      </c>
      <c r="F179" s="464"/>
      <c r="G179" s="464"/>
      <c r="H179" s="464">
        <v>33</v>
      </c>
      <c r="I179" s="464"/>
      <c r="J179" s="719"/>
      <c r="K179" s="1495" t="s">
        <v>2589</v>
      </c>
      <c r="L179" s="720"/>
      <c r="M179" s="465"/>
      <c r="N179" s="465"/>
      <c r="O179" s="465"/>
      <c r="P179" s="720"/>
    </row>
    <row r="180" spans="1:16" s="425" customFormat="1" ht="34.950000000000003" customHeight="1">
      <c r="A180" s="1665" t="s">
        <v>2660</v>
      </c>
      <c r="B180" s="1667" t="s">
        <v>809</v>
      </c>
      <c r="C180" s="1669">
        <v>188711925</v>
      </c>
      <c r="D180" s="724" t="s">
        <v>668</v>
      </c>
      <c r="E180" s="734">
        <v>42.6</v>
      </c>
      <c r="F180" s="734">
        <v>42.6</v>
      </c>
      <c r="G180" s="734">
        <v>37.152000000000001</v>
      </c>
      <c r="H180" s="734">
        <f>H183+H182</f>
        <v>51.3</v>
      </c>
      <c r="I180" s="803">
        <f>G180/F180</f>
        <v>0.87211267605633802</v>
      </c>
      <c r="J180" s="1657" t="s">
        <v>2208</v>
      </c>
      <c r="K180" s="1640" t="s">
        <v>3562</v>
      </c>
      <c r="L180" s="1637" t="s">
        <v>739</v>
      </c>
      <c r="M180" s="1643" t="s">
        <v>407</v>
      </c>
      <c r="N180" s="1703" t="s">
        <v>3274</v>
      </c>
      <c r="O180" s="1703" t="s">
        <v>3274</v>
      </c>
      <c r="P180" s="1637" t="s">
        <v>3544</v>
      </c>
    </row>
    <row r="181" spans="1:16" s="425" customFormat="1" ht="71.5" customHeight="1">
      <c r="A181" s="1671"/>
      <c r="B181" s="1672"/>
      <c r="C181" s="1675"/>
      <c r="D181" s="727" t="s">
        <v>1321</v>
      </c>
      <c r="E181" s="706">
        <f>E180</f>
        <v>42.6</v>
      </c>
      <c r="F181" s="706">
        <f>F180</f>
        <v>42.6</v>
      </c>
      <c r="G181" s="706">
        <f>G180</f>
        <v>37.152000000000001</v>
      </c>
      <c r="H181" s="706">
        <f>H180</f>
        <v>51.3</v>
      </c>
      <c r="I181" s="707">
        <f>G181/F181</f>
        <v>0.87211267605633802</v>
      </c>
      <c r="J181" s="1664"/>
      <c r="K181" s="1641"/>
      <c r="L181" s="1639"/>
      <c r="M181" s="1645"/>
      <c r="N181" s="1704"/>
      <c r="O181" s="1704"/>
      <c r="P181" s="1639"/>
    </row>
    <row r="182" spans="1:16" s="425" customFormat="1" ht="20.149999999999999" hidden="1" customHeight="1">
      <c r="A182" s="657"/>
      <c r="B182" s="804" t="s">
        <v>2546</v>
      </c>
      <c r="C182" s="805"/>
      <c r="D182" s="806"/>
      <c r="E182" s="537"/>
      <c r="F182" s="537">
        <v>21.6</v>
      </c>
      <c r="G182" s="537">
        <v>16.494</v>
      </c>
      <c r="H182" s="537">
        <v>24.24</v>
      </c>
      <c r="I182" s="537"/>
      <c r="J182" s="719"/>
      <c r="K182" s="1493"/>
      <c r="L182" s="720"/>
      <c r="M182" s="464"/>
      <c r="N182" s="464"/>
      <c r="O182" s="464"/>
      <c r="P182" s="720"/>
    </row>
    <row r="183" spans="1:16" s="425" customFormat="1" ht="20.149999999999999" hidden="1" customHeight="1">
      <c r="A183" s="657"/>
      <c r="B183" s="804" t="s">
        <v>1332</v>
      </c>
      <c r="C183" s="805"/>
      <c r="D183" s="806"/>
      <c r="E183" s="537"/>
      <c r="F183" s="537">
        <v>21</v>
      </c>
      <c r="G183" s="537">
        <v>20.658000000000001</v>
      </c>
      <c r="H183" s="537">
        <v>27.06</v>
      </c>
      <c r="I183" s="537"/>
      <c r="J183" s="719"/>
      <c r="K183" s="1493"/>
      <c r="L183" s="720"/>
      <c r="M183" s="464"/>
      <c r="N183" s="464"/>
      <c r="O183" s="464"/>
      <c r="P183" s="720"/>
    </row>
    <row r="184" spans="1:16" s="425" customFormat="1" ht="30" customHeight="1">
      <c r="A184" s="1665" t="s">
        <v>2659</v>
      </c>
      <c r="B184" s="1667" t="s">
        <v>862</v>
      </c>
      <c r="C184" s="1669">
        <v>188711925</v>
      </c>
      <c r="D184" s="724" t="s">
        <v>668</v>
      </c>
      <c r="E184" s="701">
        <v>10</v>
      </c>
      <c r="F184" s="701">
        <v>10</v>
      </c>
      <c r="G184" s="701">
        <v>8.6389999999999993</v>
      </c>
      <c r="H184" s="701">
        <v>30</v>
      </c>
      <c r="I184" s="702">
        <f>G184/F184</f>
        <v>0.86389999999999989</v>
      </c>
      <c r="J184" s="1657" t="s">
        <v>2208</v>
      </c>
      <c r="K184" s="1640" t="s">
        <v>3625</v>
      </c>
      <c r="L184" s="1637" t="s">
        <v>822</v>
      </c>
      <c r="M184" s="1643" t="s">
        <v>2893</v>
      </c>
      <c r="N184" s="1647">
        <v>1</v>
      </c>
      <c r="O184" s="1647">
        <v>0</v>
      </c>
      <c r="P184" s="1637" t="s">
        <v>3626</v>
      </c>
    </row>
    <row r="185" spans="1:16" s="425" customFormat="1" ht="33.75" hidden="1" customHeight="1">
      <c r="A185" s="1666"/>
      <c r="B185" s="1668"/>
      <c r="C185" s="1670"/>
      <c r="D185" s="724" t="s">
        <v>341</v>
      </c>
      <c r="E185" s="701"/>
      <c r="F185" s="701"/>
      <c r="G185" s="701"/>
      <c r="H185" s="701"/>
      <c r="I185" s="735"/>
      <c r="J185" s="1658"/>
      <c r="K185" s="1642"/>
      <c r="L185" s="1638"/>
      <c r="M185" s="1644"/>
      <c r="N185" s="1648"/>
      <c r="O185" s="1648"/>
      <c r="P185" s="1638"/>
    </row>
    <row r="186" spans="1:16" s="425" customFormat="1" ht="58.5" customHeight="1">
      <c r="A186" s="1671"/>
      <c r="B186" s="1672"/>
      <c r="C186" s="1675"/>
      <c r="D186" s="730" t="s">
        <v>1321</v>
      </c>
      <c r="E186" s="706">
        <f>E184</f>
        <v>10</v>
      </c>
      <c r="F186" s="706">
        <f>F184</f>
        <v>10</v>
      </c>
      <c r="G186" s="706">
        <f>G184</f>
        <v>8.6389999999999993</v>
      </c>
      <c r="H186" s="706">
        <f>H184+H185</f>
        <v>30</v>
      </c>
      <c r="I186" s="707">
        <f>G186/F186</f>
        <v>0.86389999999999989</v>
      </c>
      <c r="J186" s="1664"/>
      <c r="K186" s="1642"/>
      <c r="L186" s="1638"/>
      <c r="M186" s="1645"/>
      <c r="N186" s="1649"/>
      <c r="O186" s="1649"/>
      <c r="P186" s="1638"/>
    </row>
    <row r="187" spans="1:16" s="425" customFormat="1" ht="35.25" customHeight="1">
      <c r="A187" s="1665" t="s">
        <v>2658</v>
      </c>
      <c r="B187" s="1667" t="s">
        <v>810</v>
      </c>
      <c r="C187" s="1669">
        <v>188711925</v>
      </c>
      <c r="D187" s="724" t="s">
        <v>668</v>
      </c>
      <c r="E187" s="701">
        <v>10.99</v>
      </c>
      <c r="F187" s="701">
        <v>10.99</v>
      </c>
      <c r="G187" s="701">
        <v>10.99</v>
      </c>
      <c r="H187" s="701">
        <v>13</v>
      </c>
      <c r="I187" s="725">
        <f>G187/F187</f>
        <v>1</v>
      </c>
      <c r="J187" s="1698"/>
      <c r="K187" s="1699" t="s">
        <v>3563</v>
      </c>
      <c r="L187" s="1646" t="s">
        <v>3498</v>
      </c>
      <c r="M187" s="1643" t="s">
        <v>2939</v>
      </c>
      <c r="N187" s="1647">
        <v>100</v>
      </c>
      <c r="O187" s="1647">
        <v>100</v>
      </c>
      <c r="P187" s="1646" t="s">
        <v>3544</v>
      </c>
    </row>
    <row r="188" spans="1:16" s="425" customFormat="1" ht="29.25" customHeight="1">
      <c r="A188" s="1671"/>
      <c r="B188" s="1672"/>
      <c r="C188" s="1679"/>
      <c r="D188" s="730" t="s">
        <v>1321</v>
      </c>
      <c r="E188" s="731">
        <f>E187</f>
        <v>10.99</v>
      </c>
      <c r="F188" s="731">
        <f>F187</f>
        <v>10.99</v>
      </c>
      <c r="G188" s="731">
        <f>G187</f>
        <v>10.99</v>
      </c>
      <c r="H188" s="731">
        <f t="shared" ref="H188" si="21">H187</f>
        <v>13</v>
      </c>
      <c r="I188" s="746">
        <f>G188/F188</f>
        <v>1</v>
      </c>
      <c r="J188" s="1698"/>
      <c r="K188" s="1700"/>
      <c r="L188" s="1646"/>
      <c r="M188" s="1645"/>
      <c r="N188" s="1649"/>
      <c r="O188" s="1649"/>
      <c r="P188" s="1646"/>
    </row>
    <row r="189" spans="1:16" s="425" customFormat="1" ht="68.25" customHeight="1">
      <c r="A189" s="649"/>
      <c r="B189" s="1697"/>
      <c r="C189" s="1697"/>
      <c r="D189" s="1697"/>
      <c r="E189" s="640" t="s">
        <v>2857</v>
      </c>
      <c r="F189" s="640" t="s">
        <v>2856</v>
      </c>
      <c r="G189" s="640" t="s">
        <v>2858</v>
      </c>
      <c r="H189" s="640" t="str">
        <f>H17</f>
        <v>2024  m.asignavimai ir kitos lėšos, tūkst. Eur</v>
      </c>
      <c r="I189" s="807" t="s">
        <v>2859</v>
      </c>
      <c r="J189" s="373"/>
      <c r="K189" s="1502"/>
      <c r="L189" s="373"/>
      <c r="M189" s="373"/>
      <c r="N189" s="373"/>
      <c r="O189" s="373"/>
      <c r="P189" s="373"/>
    </row>
    <row r="190" spans="1:16" s="425" customFormat="1" ht="30.65" customHeight="1">
      <c r="A190" s="649"/>
      <c r="B190" s="1691" t="s">
        <v>986</v>
      </c>
      <c r="C190" s="1691"/>
      <c r="D190" s="1691"/>
      <c r="E190" s="703">
        <f>SUM(E191,E192,E193,E194,E195,E196,)</f>
        <v>4584.8110000000015</v>
      </c>
      <c r="F190" s="703">
        <f>SUM(F191,F192,F193,F194,F195,F196,)</f>
        <v>4596.8290000000006</v>
      </c>
      <c r="G190" s="703">
        <f>SUM(G191,G192,G193,G194,G195,G196,)</f>
        <v>4120.697000000001</v>
      </c>
      <c r="H190" s="703">
        <f>SUM(H191,H192,H193,H194,H195,H196,)</f>
        <v>5677.4240000000009</v>
      </c>
      <c r="I190" s="808">
        <f t="shared" ref="I190:I193" si="22">G190/F190</f>
        <v>0.89642164196231799</v>
      </c>
      <c r="J190" s="809"/>
      <c r="K190" s="1503"/>
      <c r="L190" s="478"/>
      <c r="M190" s="809"/>
      <c r="N190" s="809"/>
      <c r="O190" s="809"/>
      <c r="P190" s="478"/>
    </row>
    <row r="191" spans="1:16" s="425" customFormat="1" ht="28.2" customHeight="1">
      <c r="A191" s="649"/>
      <c r="B191" s="1692" t="s">
        <v>3272</v>
      </c>
      <c r="C191" s="1692"/>
      <c r="D191" s="1692"/>
      <c r="E191" s="701">
        <f>SUM(E20,E29,E31,E33,E37,E45,E48,E91,E94,E103,E106,E108,E111,E113,E115,E117,E120,E123,E135,E137,E140,E143,E162,E166,E172,E180,E184,E187,E69)</f>
        <v>4339.3860000000013</v>
      </c>
      <c r="F191" s="701">
        <f>SUM(F20,F29,F31,F33,F37,F45,F48,F91,F94,F103,F106,F108,F111,F113,F115,F117,F120,F123,F135,F137,F140,F143,F162,F166,F172,F180,F184,F187,F69)</f>
        <v>4311.2780000000002</v>
      </c>
      <c r="G191" s="701">
        <f>SUM(G20,G29,G31,G33,G37,G45,G48,G91,G94,G103,G106,G108,G111,G113,G115,G117,G120,G123,G135,G137,G140,G143,G162,G166,G172,G180,G184,G187,G69)</f>
        <v>3845.8200000000011</v>
      </c>
      <c r="H191" s="701">
        <f>SUM(H20,H29,H31,H33,H37,H45,H48,H91,H94,H103,H106,H108,H111,H113,H115,H117,H120,H123,H135,H137,H140,H143,H166,H172,H180,H184,H187,H69,H84)</f>
        <v>5380.4000000000005</v>
      </c>
      <c r="I191" s="808">
        <f t="shared" si="22"/>
        <v>0.89203711753220294</v>
      </c>
      <c r="J191" s="742"/>
      <c r="K191" s="1504"/>
      <c r="L191" s="478"/>
      <c r="M191" s="478"/>
      <c r="N191" s="478"/>
      <c r="O191" s="478"/>
      <c r="P191" s="478"/>
    </row>
    <row r="192" spans="1:16" s="425" customFormat="1" ht="27.65" customHeight="1">
      <c r="A192" s="649"/>
      <c r="B192" s="1692" t="s">
        <v>988</v>
      </c>
      <c r="C192" s="1692"/>
      <c r="D192" s="1692"/>
      <c r="E192" s="701">
        <f>SUM(E36,E44,E47,E52,E54,E56,E58,E60,E66,E68,E71,E73,E75,E78,E81,E83,E86,E88,E90,E63)</f>
        <v>232.52999999999994</v>
      </c>
      <c r="F192" s="701">
        <f>SUM(F22,F36,F44,F47,F49,F52,F54,F56,F58,F60,F61,F66,F68,F71,F73,F75,F76,F78,F81,F83,F86,F88,F90,)</f>
        <v>265.88599999999997</v>
      </c>
      <c r="G192" s="701">
        <f>SUM(G22,G36,G44,G47,G49,G52,G54,G56,G58,G60,G61,G66,G68,G71,G73,G75,G76,G78,G81,G83,G86,G88,G90,)</f>
        <v>255.77199999999996</v>
      </c>
      <c r="H192" s="701">
        <f>SUM(H36,H44,H47,H52,H54,H56,H58,H60,H66,H68,H71,H73,H75,H78,H81,H83,H86,H88,H90,H63)</f>
        <v>279.72399999999999</v>
      </c>
      <c r="I192" s="808">
        <f t="shared" si="22"/>
        <v>0.96196114124098298</v>
      </c>
      <c r="J192" s="742"/>
      <c r="K192" s="1504"/>
      <c r="L192" s="478"/>
      <c r="M192" s="478"/>
      <c r="N192" s="478"/>
      <c r="O192" s="478"/>
      <c r="P192" s="478"/>
    </row>
    <row r="193" spans="1:16" s="425" customFormat="1" ht="28.95" customHeight="1">
      <c r="A193" s="649"/>
      <c r="B193" s="1692" t="s">
        <v>989</v>
      </c>
      <c r="C193" s="1692"/>
      <c r="D193" s="1692"/>
      <c r="E193" s="701">
        <f>SUM(E21,E38)</f>
        <v>12.895</v>
      </c>
      <c r="F193" s="701">
        <f>SUM(F21,F38)</f>
        <v>19.665000000000003</v>
      </c>
      <c r="G193" s="701">
        <f>SUM(G21,G38)</f>
        <v>19.105</v>
      </c>
      <c r="H193" s="701">
        <f>SUM(H21,H38)</f>
        <v>17.3</v>
      </c>
      <c r="I193" s="808">
        <f t="shared" si="22"/>
        <v>0.9715230104246122</v>
      </c>
      <c r="J193" s="742"/>
      <c r="K193" s="1504"/>
      <c r="L193" s="478"/>
      <c r="M193" s="478"/>
      <c r="N193" s="478"/>
      <c r="O193" s="478"/>
      <c r="P193" s="478"/>
    </row>
    <row r="194" spans="1:16" s="425" customFormat="1" ht="34.200000000000003" customHeight="1">
      <c r="A194" s="649"/>
      <c r="B194" s="1692" t="s">
        <v>2695</v>
      </c>
      <c r="C194" s="1692"/>
      <c r="D194" s="1692"/>
      <c r="E194" s="701">
        <v>0</v>
      </c>
      <c r="F194" s="701">
        <v>0</v>
      </c>
      <c r="G194" s="701">
        <v>0</v>
      </c>
      <c r="H194" s="701">
        <v>0</v>
      </c>
      <c r="I194" s="808"/>
      <c r="J194" s="742"/>
      <c r="K194" s="1504"/>
      <c r="L194" s="478"/>
      <c r="M194" s="478"/>
      <c r="N194" s="478"/>
      <c r="O194" s="478"/>
      <c r="P194" s="478"/>
    </row>
    <row r="195" spans="1:16" s="425" customFormat="1" ht="27.65" customHeight="1">
      <c r="A195" s="649"/>
      <c r="B195" s="1692" t="s">
        <v>990</v>
      </c>
      <c r="C195" s="1692"/>
      <c r="D195" s="1692"/>
      <c r="E195" s="701">
        <v>0</v>
      </c>
      <c r="F195" s="701">
        <v>0</v>
      </c>
      <c r="G195" s="701">
        <v>0</v>
      </c>
      <c r="H195" s="701">
        <v>0</v>
      </c>
      <c r="I195" s="808"/>
      <c r="J195" s="742"/>
      <c r="K195" s="1504"/>
      <c r="L195" s="478"/>
      <c r="M195" s="478"/>
      <c r="N195" s="478"/>
      <c r="O195" s="478"/>
      <c r="P195" s="478"/>
    </row>
    <row r="196" spans="1:16" s="425" customFormat="1" ht="20.149999999999999" hidden="1" customHeight="1">
      <c r="A196" s="649"/>
      <c r="B196" s="1692" t="s">
        <v>991</v>
      </c>
      <c r="C196" s="1692"/>
      <c r="D196" s="1692"/>
      <c r="E196" s="701">
        <v>0</v>
      </c>
      <c r="F196" s="701">
        <v>0</v>
      </c>
      <c r="G196" s="701">
        <v>0</v>
      </c>
      <c r="H196" s="810">
        <v>0</v>
      </c>
      <c r="I196" s="808"/>
      <c r="J196" s="742"/>
      <c r="K196" s="1504"/>
      <c r="L196" s="478"/>
      <c r="M196" s="478"/>
      <c r="N196" s="478"/>
      <c r="O196" s="478"/>
      <c r="P196" s="478"/>
    </row>
    <row r="197" spans="1:16" s="425" customFormat="1" ht="38.25" customHeight="1">
      <c r="A197" s="649"/>
      <c r="B197" s="1691" t="s">
        <v>992</v>
      </c>
      <c r="C197" s="1691"/>
      <c r="D197" s="1691"/>
      <c r="E197" s="701">
        <v>0</v>
      </c>
      <c r="F197" s="701">
        <v>0</v>
      </c>
      <c r="G197" s="701">
        <v>0</v>
      </c>
      <c r="H197" s="701">
        <v>0</v>
      </c>
      <c r="I197" s="808"/>
      <c r="J197" s="742"/>
      <c r="K197" s="1504"/>
      <c r="L197" s="478"/>
      <c r="M197" s="478"/>
      <c r="N197" s="478"/>
      <c r="O197" s="478"/>
      <c r="P197" s="478"/>
    </row>
    <row r="198" spans="1:16" s="425" customFormat="1" ht="39.65" customHeight="1">
      <c r="A198" s="649"/>
      <c r="B198" s="1693" t="s">
        <v>1334</v>
      </c>
      <c r="C198" s="1693"/>
      <c r="D198" s="1693"/>
      <c r="E198" s="812">
        <f>E190+E197</f>
        <v>4584.8110000000015</v>
      </c>
      <c r="F198" s="812">
        <f>F190+F197</f>
        <v>4596.8290000000006</v>
      </c>
      <c r="G198" s="812">
        <f>G190+G197</f>
        <v>4120.697000000001</v>
      </c>
      <c r="H198" s="812">
        <f>H190+H197</f>
        <v>5677.4240000000009</v>
      </c>
      <c r="I198" s="813">
        <f>G198/F198</f>
        <v>0.89642164196231799</v>
      </c>
      <c r="J198" s="809"/>
      <c r="K198" s="1504"/>
      <c r="L198" s="478"/>
      <c r="M198" s="478"/>
      <c r="N198" s="478"/>
      <c r="O198" s="478"/>
      <c r="P198" s="478"/>
    </row>
    <row r="199" spans="1:16" s="425" customFormat="1" ht="37.950000000000003" hidden="1" customHeight="1">
      <c r="B199" s="1689" t="s">
        <v>1948</v>
      </c>
      <c r="C199" s="1689"/>
      <c r="D199" s="1689"/>
      <c r="E199" s="435">
        <v>0</v>
      </c>
      <c r="F199" s="435">
        <v>0</v>
      </c>
      <c r="G199" s="435">
        <v>0</v>
      </c>
      <c r="H199" s="435">
        <v>0</v>
      </c>
      <c r="I199" s="438"/>
      <c r="J199" s="436"/>
      <c r="K199" s="1504"/>
      <c r="L199" s="437">
        <f>L198-F192</f>
        <v>-265.88599999999997</v>
      </c>
      <c r="M199" s="437">
        <f>M198-G192</f>
        <v>-255.77199999999996</v>
      </c>
      <c r="N199" s="437"/>
      <c r="O199" s="437"/>
      <c r="P199" s="437"/>
    </row>
    <row r="200" spans="1:16" s="425" customFormat="1" ht="28.5" hidden="1" customHeight="1">
      <c r="B200" s="1690" t="s">
        <v>993</v>
      </c>
      <c r="C200" s="1690"/>
      <c r="D200" s="1690"/>
      <c r="E200" s="435">
        <v>0</v>
      </c>
      <c r="F200" s="435">
        <v>0</v>
      </c>
      <c r="G200" s="435">
        <v>0</v>
      </c>
      <c r="H200" s="438">
        <f>(H198-E198)/E198</f>
        <v>0.23831145929461411</v>
      </c>
      <c r="I200" s="438"/>
      <c r="J200" s="436"/>
      <c r="K200" s="1504"/>
      <c r="L200" s="437"/>
      <c r="M200" s="437"/>
      <c r="N200" s="437"/>
      <c r="O200" s="437"/>
      <c r="P200" s="437"/>
    </row>
    <row r="201" spans="1:16">
      <c r="E201" s="400"/>
      <c r="F201" s="400"/>
      <c r="G201" s="400"/>
    </row>
    <row r="202" spans="1:16">
      <c r="E202" s="400"/>
      <c r="F202" s="400"/>
      <c r="G202" s="400"/>
    </row>
    <row r="203" spans="1:16" ht="27" hidden="1" customHeight="1">
      <c r="E203" s="400"/>
      <c r="F203" s="545">
        <v>4109.9430000000002</v>
      </c>
      <c r="G203" s="545">
        <v>3643.9250000000002</v>
      </c>
      <c r="H203" s="400">
        <v>5122.3</v>
      </c>
    </row>
    <row r="204" spans="1:16" ht="24" hidden="1" customHeight="1">
      <c r="A204" s="401"/>
      <c r="E204" s="400"/>
      <c r="F204" s="415">
        <f>F203-F191-F193</f>
        <v>-221.00000000000003</v>
      </c>
      <c r="G204" s="415">
        <f>G203-G191-G193</f>
        <v>-221.00000000000088</v>
      </c>
      <c r="H204" s="490">
        <f>H203-H191-H193-H196</f>
        <v>-275.40000000000038</v>
      </c>
    </row>
    <row r="205" spans="1:16" hidden="1">
      <c r="E205" s="400"/>
      <c r="F205" s="400"/>
      <c r="G205" s="415"/>
      <c r="J205" s="546"/>
    </row>
    <row r="206" spans="1:16" hidden="1">
      <c r="A206" s="401"/>
      <c r="B206" s="401"/>
      <c r="E206" s="400"/>
      <c r="F206" s="400"/>
      <c r="G206" s="400"/>
    </row>
    <row r="207" spans="1:16" hidden="1">
      <c r="E207" s="400"/>
      <c r="F207" s="400"/>
      <c r="G207" s="400"/>
    </row>
    <row r="208" spans="1:16" hidden="1">
      <c r="B208" s="403"/>
      <c r="E208" s="400"/>
      <c r="F208" s="400"/>
      <c r="G208" s="400"/>
      <c r="H208" s="415">
        <v>5121.78</v>
      </c>
    </row>
    <row r="209" spans="2:8">
      <c r="B209" s="403"/>
      <c r="E209" s="400"/>
      <c r="F209" s="400"/>
      <c r="G209" s="400"/>
    </row>
    <row r="210" spans="2:8">
      <c r="E210" s="400"/>
      <c r="F210" s="400"/>
      <c r="G210" s="400"/>
      <c r="H210" s="415">
        <f>H208-H191-H193-H196</f>
        <v>-275.92000000000081</v>
      </c>
    </row>
    <row r="211" spans="2:8">
      <c r="E211" s="400"/>
      <c r="F211" s="400"/>
      <c r="G211" s="400"/>
    </row>
    <row r="212" spans="2:8">
      <c r="E212" s="400"/>
      <c r="F212" s="400"/>
      <c r="G212" s="400"/>
    </row>
    <row r="213" spans="2:8">
      <c r="E213" s="400"/>
      <c r="F213" s="400"/>
      <c r="G213" s="400"/>
    </row>
    <row r="214" spans="2:8">
      <c r="E214" s="400"/>
      <c r="F214" s="400"/>
      <c r="G214" s="400"/>
    </row>
    <row r="215" spans="2:8">
      <c r="E215" s="400"/>
      <c r="F215" s="400"/>
      <c r="G215" s="400"/>
    </row>
    <row r="216" spans="2:8">
      <c r="E216" s="400"/>
      <c r="F216" s="400"/>
      <c r="G216" s="400"/>
    </row>
    <row r="217" spans="2:8">
      <c r="E217" s="400"/>
      <c r="F217" s="400"/>
      <c r="G217" s="400"/>
    </row>
    <row r="218" spans="2:8">
      <c r="E218" s="400"/>
      <c r="F218" s="400"/>
      <c r="G218" s="400"/>
    </row>
    <row r="219" spans="2:8">
      <c r="E219" s="400"/>
      <c r="F219" s="400"/>
      <c r="G219" s="400"/>
    </row>
    <row r="220" spans="2:8">
      <c r="B220" s="403"/>
      <c r="E220" s="400"/>
      <c r="F220" s="400"/>
      <c r="G220" s="400"/>
    </row>
    <row r="221" spans="2:8">
      <c r="E221" s="400"/>
      <c r="F221" s="400"/>
      <c r="G221" s="400"/>
    </row>
    <row r="222" spans="2:8">
      <c r="E222" s="400"/>
      <c r="F222" s="400"/>
      <c r="G222" s="400"/>
    </row>
    <row r="223" spans="2:8">
      <c r="E223" s="400"/>
      <c r="F223" s="400"/>
      <c r="G223" s="400"/>
    </row>
    <row r="224" spans="2:8">
      <c r="E224" s="400"/>
      <c r="F224" s="400"/>
      <c r="G224" s="400"/>
    </row>
    <row r="225" spans="5:7">
      <c r="E225" s="400"/>
      <c r="F225" s="400"/>
      <c r="G225" s="400"/>
    </row>
    <row r="226" spans="5:7">
      <c r="E226" s="400"/>
      <c r="F226" s="400"/>
      <c r="G226" s="400"/>
    </row>
    <row r="227" spans="5:7">
      <c r="E227" s="400"/>
      <c r="F227" s="400"/>
      <c r="G227" s="400"/>
    </row>
    <row r="228" spans="5:7">
      <c r="E228" s="400"/>
      <c r="F228" s="400"/>
      <c r="G228" s="400"/>
    </row>
    <row r="229" spans="5:7">
      <c r="E229" s="400"/>
      <c r="F229" s="400"/>
      <c r="G229" s="400"/>
    </row>
    <row r="230" spans="5:7">
      <c r="E230" s="400"/>
      <c r="F230" s="400"/>
      <c r="G230" s="400"/>
    </row>
    <row r="231" spans="5:7">
      <c r="E231" s="400"/>
      <c r="F231" s="400"/>
      <c r="G231" s="400"/>
    </row>
    <row r="232" spans="5:7">
      <c r="E232" s="400"/>
      <c r="F232" s="400"/>
      <c r="G232" s="400"/>
    </row>
    <row r="233" spans="5:7">
      <c r="E233" s="400"/>
      <c r="F233" s="400"/>
      <c r="G233" s="400"/>
    </row>
    <row r="234" spans="5:7">
      <c r="E234" s="400"/>
      <c r="F234" s="400"/>
      <c r="G234" s="400"/>
    </row>
    <row r="235" spans="5:7">
      <c r="E235" s="400"/>
      <c r="F235" s="400"/>
      <c r="G235" s="400"/>
    </row>
    <row r="236" spans="5:7">
      <c r="E236" s="400"/>
      <c r="F236" s="400"/>
      <c r="G236" s="400"/>
    </row>
    <row r="237" spans="5:7">
      <c r="E237" s="400"/>
      <c r="F237" s="400"/>
      <c r="G237" s="400"/>
    </row>
    <row r="238" spans="5:7">
      <c r="E238" s="400"/>
      <c r="F238" s="400"/>
      <c r="G238" s="400"/>
    </row>
    <row r="239" spans="5:7">
      <c r="E239" s="400"/>
      <c r="F239" s="400"/>
      <c r="G239" s="400"/>
    </row>
    <row r="240" spans="5:7">
      <c r="E240" s="400"/>
      <c r="F240" s="400"/>
      <c r="G240" s="400"/>
    </row>
    <row r="241" spans="5:7">
      <c r="E241" s="400"/>
      <c r="F241" s="400"/>
      <c r="G241" s="400"/>
    </row>
    <row r="242" spans="5:7">
      <c r="E242" s="400"/>
      <c r="F242" s="400"/>
      <c r="G242" s="400"/>
    </row>
    <row r="243" spans="5:7">
      <c r="E243" s="400"/>
      <c r="F243" s="400"/>
      <c r="G243" s="400"/>
    </row>
    <row r="244" spans="5:7">
      <c r="E244" s="400"/>
      <c r="F244" s="400"/>
      <c r="G244" s="400"/>
    </row>
    <row r="245" spans="5:7">
      <c r="E245" s="400"/>
      <c r="F245" s="400"/>
      <c r="G245" s="400"/>
    </row>
    <row r="246" spans="5:7">
      <c r="E246" s="400"/>
      <c r="F246" s="400"/>
      <c r="G246" s="400"/>
    </row>
    <row r="247" spans="5:7">
      <c r="E247" s="400"/>
      <c r="F247" s="400"/>
      <c r="G247" s="400"/>
    </row>
    <row r="248" spans="5:7">
      <c r="E248" s="400"/>
      <c r="F248" s="400"/>
      <c r="G248" s="400"/>
    </row>
    <row r="249" spans="5:7">
      <c r="E249" s="400"/>
      <c r="F249" s="400"/>
      <c r="G249" s="400"/>
    </row>
    <row r="250" spans="5:7">
      <c r="E250" s="400"/>
      <c r="F250" s="400"/>
      <c r="G250" s="400"/>
    </row>
    <row r="251" spans="5:7">
      <c r="E251" s="400"/>
      <c r="F251" s="400"/>
      <c r="G251" s="400"/>
    </row>
    <row r="252" spans="5:7">
      <c r="E252" s="400"/>
      <c r="F252" s="400"/>
      <c r="G252" s="400"/>
    </row>
    <row r="253" spans="5:7">
      <c r="E253" s="400"/>
      <c r="F253" s="400"/>
      <c r="G253" s="400"/>
    </row>
    <row r="254" spans="5:7">
      <c r="E254" s="400"/>
      <c r="F254" s="400"/>
      <c r="G254" s="400"/>
    </row>
    <row r="255" spans="5:7">
      <c r="E255" s="400"/>
      <c r="F255" s="400"/>
      <c r="G255" s="400"/>
    </row>
    <row r="256" spans="5:7">
      <c r="E256" s="400"/>
      <c r="F256" s="400"/>
      <c r="G256" s="400"/>
    </row>
    <row r="257" spans="5:7">
      <c r="E257" s="400"/>
      <c r="F257" s="400"/>
      <c r="G257" s="400"/>
    </row>
    <row r="258" spans="5:7">
      <c r="E258" s="400"/>
      <c r="F258" s="400"/>
      <c r="G258" s="400"/>
    </row>
    <row r="259" spans="5:7">
      <c r="E259" s="400"/>
      <c r="F259" s="400"/>
      <c r="G259" s="400"/>
    </row>
    <row r="260" spans="5:7">
      <c r="E260" s="400"/>
      <c r="F260" s="400"/>
      <c r="G260" s="400"/>
    </row>
    <row r="261" spans="5:7">
      <c r="E261" s="400"/>
      <c r="F261" s="400"/>
      <c r="G261" s="400"/>
    </row>
    <row r="262" spans="5:7">
      <c r="E262" s="400"/>
      <c r="F262" s="400"/>
      <c r="G262" s="400"/>
    </row>
    <row r="263" spans="5:7">
      <c r="E263" s="400"/>
      <c r="F263" s="400"/>
      <c r="G263" s="400"/>
    </row>
    <row r="264" spans="5:7">
      <c r="E264" s="400"/>
      <c r="F264" s="400"/>
      <c r="G264" s="400"/>
    </row>
    <row r="265" spans="5:7">
      <c r="E265" s="400"/>
      <c r="F265" s="400"/>
      <c r="G265" s="400"/>
    </row>
    <row r="266" spans="5:7">
      <c r="E266" s="400"/>
      <c r="F266" s="400"/>
      <c r="G266" s="400"/>
    </row>
    <row r="267" spans="5:7">
      <c r="E267" s="400"/>
      <c r="F267" s="400"/>
      <c r="G267" s="400"/>
    </row>
    <row r="268" spans="5:7">
      <c r="E268" s="400"/>
      <c r="F268" s="400"/>
      <c r="G268" s="400"/>
    </row>
    <row r="269" spans="5:7">
      <c r="E269" s="400"/>
      <c r="F269" s="400"/>
      <c r="G269" s="400"/>
    </row>
    <row r="270" spans="5:7">
      <c r="E270" s="400"/>
      <c r="F270" s="400"/>
      <c r="G270" s="400"/>
    </row>
    <row r="271" spans="5:7">
      <c r="E271" s="400"/>
      <c r="F271" s="400"/>
      <c r="G271" s="400"/>
    </row>
    <row r="272" spans="5:7">
      <c r="E272" s="400"/>
      <c r="F272" s="400"/>
      <c r="G272" s="400"/>
    </row>
    <row r="273" spans="5:7">
      <c r="E273" s="400"/>
      <c r="F273" s="400"/>
      <c r="G273" s="400"/>
    </row>
    <row r="274" spans="5:7">
      <c r="E274" s="400"/>
      <c r="F274" s="400"/>
      <c r="G274" s="400"/>
    </row>
    <row r="275" spans="5:7">
      <c r="E275" s="400"/>
      <c r="F275" s="400"/>
      <c r="G275" s="400"/>
    </row>
    <row r="276" spans="5:7">
      <c r="E276" s="400"/>
      <c r="F276" s="400"/>
      <c r="G276" s="400"/>
    </row>
    <row r="277" spans="5:7">
      <c r="E277" s="400"/>
      <c r="F277" s="400"/>
      <c r="G277" s="400"/>
    </row>
    <row r="278" spans="5:7">
      <c r="E278" s="400"/>
      <c r="F278" s="400"/>
      <c r="G278" s="400"/>
    </row>
    <row r="279" spans="5:7">
      <c r="E279" s="400"/>
      <c r="F279" s="400"/>
      <c r="G279" s="400"/>
    </row>
    <row r="280" spans="5:7">
      <c r="E280" s="400"/>
      <c r="F280" s="400"/>
      <c r="G280" s="400"/>
    </row>
    <row r="281" spans="5:7">
      <c r="E281" s="400"/>
      <c r="F281" s="400"/>
      <c r="G281" s="400"/>
    </row>
    <row r="282" spans="5:7">
      <c r="E282" s="400"/>
      <c r="F282" s="400"/>
      <c r="G282" s="400"/>
    </row>
    <row r="283" spans="5:7">
      <c r="E283" s="400"/>
      <c r="F283" s="400"/>
      <c r="G283" s="400"/>
    </row>
    <row r="284" spans="5:7">
      <c r="E284" s="400"/>
      <c r="F284" s="400"/>
      <c r="G284" s="400"/>
    </row>
    <row r="285" spans="5:7">
      <c r="E285" s="400"/>
      <c r="F285" s="400"/>
      <c r="G285" s="400"/>
    </row>
    <row r="286" spans="5:7">
      <c r="E286" s="400"/>
      <c r="F286" s="400"/>
      <c r="G286" s="400"/>
    </row>
    <row r="287" spans="5:7">
      <c r="E287" s="400"/>
      <c r="F287" s="400"/>
      <c r="G287" s="400"/>
    </row>
    <row r="288" spans="5:7">
      <c r="E288" s="400"/>
      <c r="F288" s="400"/>
      <c r="G288" s="400"/>
    </row>
    <row r="289" spans="5:7">
      <c r="E289" s="400"/>
      <c r="F289" s="400"/>
      <c r="G289" s="400"/>
    </row>
    <row r="290" spans="5:7">
      <c r="E290" s="400"/>
      <c r="F290" s="400"/>
      <c r="G290" s="400"/>
    </row>
    <row r="291" spans="5:7">
      <c r="E291" s="400"/>
      <c r="F291" s="400"/>
      <c r="G291" s="400"/>
    </row>
    <row r="292" spans="5:7">
      <c r="E292" s="400"/>
      <c r="F292" s="400"/>
      <c r="G292" s="400"/>
    </row>
    <row r="293" spans="5:7">
      <c r="E293" s="400"/>
      <c r="F293" s="400"/>
      <c r="G293" s="400"/>
    </row>
    <row r="294" spans="5:7">
      <c r="E294" s="400"/>
      <c r="F294" s="400"/>
      <c r="G294" s="400"/>
    </row>
    <row r="295" spans="5:7">
      <c r="E295" s="400"/>
      <c r="F295" s="400"/>
      <c r="G295" s="400"/>
    </row>
    <row r="296" spans="5:7">
      <c r="E296" s="400"/>
      <c r="F296" s="400"/>
      <c r="G296" s="400"/>
    </row>
    <row r="297" spans="5:7">
      <c r="E297" s="400"/>
      <c r="F297" s="400"/>
      <c r="G297" s="400"/>
    </row>
    <row r="298" spans="5:7">
      <c r="E298" s="400"/>
      <c r="F298" s="400"/>
      <c r="G298" s="400"/>
    </row>
    <row r="299" spans="5:7">
      <c r="E299" s="400"/>
      <c r="F299" s="400"/>
      <c r="G299" s="400"/>
    </row>
    <row r="300" spans="5:7">
      <c r="E300" s="400"/>
      <c r="F300" s="400"/>
      <c r="G300" s="400"/>
    </row>
    <row r="301" spans="5:7">
      <c r="E301" s="400"/>
      <c r="F301" s="400"/>
      <c r="G301" s="400"/>
    </row>
    <row r="302" spans="5:7">
      <c r="E302" s="400"/>
      <c r="F302" s="400"/>
      <c r="G302" s="400"/>
    </row>
    <row r="303" spans="5:7">
      <c r="E303" s="400"/>
      <c r="F303" s="400"/>
      <c r="G303" s="400"/>
    </row>
    <row r="304" spans="5:7">
      <c r="E304" s="400"/>
      <c r="F304" s="400"/>
      <c r="G304" s="400"/>
    </row>
    <row r="305" spans="5:7">
      <c r="E305" s="400"/>
      <c r="F305" s="400"/>
      <c r="G305" s="400"/>
    </row>
    <row r="306" spans="5:7">
      <c r="E306" s="400"/>
      <c r="F306" s="400"/>
      <c r="G306" s="400"/>
    </row>
    <row r="307" spans="5:7">
      <c r="E307" s="400"/>
      <c r="F307" s="400"/>
      <c r="G307" s="400"/>
    </row>
    <row r="308" spans="5:7">
      <c r="E308" s="400"/>
      <c r="F308" s="400"/>
      <c r="G308" s="400"/>
    </row>
    <row r="309" spans="5:7">
      <c r="E309" s="400"/>
      <c r="F309" s="400"/>
      <c r="G309" s="400"/>
    </row>
    <row r="310" spans="5:7">
      <c r="E310" s="400"/>
      <c r="F310" s="400"/>
      <c r="G310" s="400"/>
    </row>
    <row r="311" spans="5:7">
      <c r="E311" s="400"/>
      <c r="F311" s="400"/>
      <c r="G311" s="400"/>
    </row>
    <row r="312" spans="5:7">
      <c r="E312" s="400"/>
      <c r="F312" s="400"/>
      <c r="G312" s="400"/>
    </row>
    <row r="313" spans="5:7">
      <c r="E313" s="400"/>
      <c r="F313" s="400"/>
      <c r="G313" s="400"/>
    </row>
    <row r="314" spans="5:7">
      <c r="E314" s="400"/>
      <c r="F314" s="400"/>
      <c r="G314" s="400"/>
    </row>
    <row r="315" spans="5:7">
      <c r="E315" s="400"/>
      <c r="F315" s="400"/>
      <c r="G315" s="400"/>
    </row>
    <row r="316" spans="5:7">
      <c r="E316" s="400"/>
      <c r="F316" s="400"/>
      <c r="G316" s="400"/>
    </row>
    <row r="317" spans="5:7">
      <c r="E317" s="400"/>
      <c r="F317" s="400"/>
      <c r="G317" s="400"/>
    </row>
    <row r="318" spans="5:7">
      <c r="E318" s="400"/>
      <c r="F318" s="400"/>
      <c r="G318" s="400"/>
    </row>
    <row r="319" spans="5:7">
      <c r="E319" s="400"/>
      <c r="F319" s="400"/>
      <c r="G319" s="400"/>
    </row>
    <row r="320" spans="5:7">
      <c r="E320" s="400"/>
      <c r="F320" s="400"/>
      <c r="G320" s="400"/>
    </row>
    <row r="321" spans="5:7">
      <c r="E321" s="400"/>
      <c r="F321" s="400"/>
      <c r="G321" s="400"/>
    </row>
    <row r="322" spans="5:7">
      <c r="E322" s="400"/>
      <c r="F322" s="400"/>
      <c r="G322" s="400"/>
    </row>
    <row r="323" spans="5:7">
      <c r="E323" s="400"/>
      <c r="F323" s="400"/>
      <c r="G323" s="400"/>
    </row>
    <row r="324" spans="5:7">
      <c r="E324" s="400"/>
      <c r="F324" s="400"/>
      <c r="G324" s="400"/>
    </row>
    <row r="325" spans="5:7">
      <c r="E325" s="400"/>
      <c r="F325" s="400"/>
      <c r="G325" s="400"/>
    </row>
    <row r="326" spans="5:7">
      <c r="E326" s="400"/>
      <c r="F326" s="400"/>
      <c r="G326" s="400"/>
    </row>
    <row r="327" spans="5:7">
      <c r="E327" s="400"/>
      <c r="F327" s="400"/>
      <c r="G327" s="400"/>
    </row>
    <row r="328" spans="5:7">
      <c r="E328" s="400"/>
      <c r="F328" s="400"/>
      <c r="G328" s="400"/>
    </row>
    <row r="329" spans="5:7">
      <c r="E329" s="400"/>
      <c r="F329" s="400"/>
      <c r="G329" s="400"/>
    </row>
    <row r="330" spans="5:7">
      <c r="E330" s="400"/>
      <c r="F330" s="400"/>
      <c r="G330" s="400"/>
    </row>
    <row r="331" spans="5:7">
      <c r="E331" s="400"/>
      <c r="F331" s="400"/>
      <c r="G331" s="400"/>
    </row>
    <row r="332" spans="5:7">
      <c r="E332" s="400"/>
      <c r="F332" s="400"/>
      <c r="G332" s="400"/>
    </row>
    <row r="333" spans="5:7">
      <c r="E333" s="400"/>
      <c r="F333" s="400"/>
      <c r="G333" s="400"/>
    </row>
    <row r="334" spans="5:7">
      <c r="E334" s="400"/>
      <c r="F334" s="400"/>
      <c r="G334" s="400"/>
    </row>
    <row r="335" spans="5:7">
      <c r="E335" s="400"/>
      <c r="F335" s="400"/>
      <c r="G335" s="400"/>
    </row>
    <row r="336" spans="5:7">
      <c r="E336" s="400"/>
      <c r="F336" s="400"/>
      <c r="G336" s="400"/>
    </row>
    <row r="337" spans="5:7">
      <c r="E337" s="400"/>
      <c r="F337" s="400"/>
      <c r="G337" s="400"/>
    </row>
    <row r="338" spans="5:7">
      <c r="E338" s="400"/>
      <c r="F338" s="400"/>
      <c r="G338" s="400"/>
    </row>
    <row r="339" spans="5:7">
      <c r="E339" s="400"/>
      <c r="F339" s="400"/>
      <c r="G339" s="400"/>
    </row>
    <row r="340" spans="5:7">
      <c r="E340" s="400"/>
      <c r="F340" s="400"/>
      <c r="G340" s="400"/>
    </row>
    <row r="341" spans="5:7">
      <c r="E341" s="400"/>
      <c r="F341" s="400"/>
      <c r="G341" s="400"/>
    </row>
    <row r="342" spans="5:7">
      <c r="E342" s="400"/>
      <c r="F342" s="400"/>
      <c r="G342" s="400"/>
    </row>
    <row r="343" spans="5:7">
      <c r="E343" s="400"/>
      <c r="F343" s="400"/>
      <c r="G343" s="400"/>
    </row>
    <row r="344" spans="5:7">
      <c r="E344" s="400"/>
      <c r="F344" s="400"/>
      <c r="G344" s="400"/>
    </row>
    <row r="345" spans="5:7">
      <c r="E345" s="400"/>
      <c r="F345" s="400"/>
      <c r="G345" s="400"/>
    </row>
    <row r="346" spans="5:7">
      <c r="E346" s="400"/>
      <c r="F346" s="400"/>
      <c r="G346" s="400"/>
    </row>
    <row r="347" spans="5:7">
      <c r="E347" s="400"/>
      <c r="F347" s="400"/>
      <c r="G347" s="400"/>
    </row>
    <row r="348" spans="5:7">
      <c r="E348" s="400"/>
      <c r="F348" s="400"/>
      <c r="G348" s="400"/>
    </row>
    <row r="349" spans="5:7">
      <c r="E349" s="400"/>
      <c r="F349" s="400"/>
      <c r="G349" s="400"/>
    </row>
    <row r="350" spans="5:7">
      <c r="E350" s="400"/>
      <c r="F350" s="400"/>
      <c r="G350" s="400"/>
    </row>
    <row r="351" spans="5:7">
      <c r="E351" s="400"/>
      <c r="F351" s="400"/>
      <c r="G351" s="400"/>
    </row>
    <row r="352" spans="5:7">
      <c r="E352" s="400"/>
      <c r="F352" s="400"/>
      <c r="G352" s="400"/>
    </row>
    <row r="353" spans="5:7">
      <c r="E353" s="400"/>
      <c r="F353" s="400"/>
      <c r="G353" s="400"/>
    </row>
    <row r="354" spans="5:7">
      <c r="E354" s="400"/>
      <c r="F354" s="400"/>
      <c r="G354" s="400"/>
    </row>
    <row r="355" spans="5:7">
      <c r="E355" s="400"/>
      <c r="F355" s="400"/>
      <c r="G355" s="400"/>
    </row>
    <row r="356" spans="5:7">
      <c r="E356" s="400"/>
      <c r="F356" s="400"/>
      <c r="G356" s="400"/>
    </row>
    <row r="357" spans="5:7">
      <c r="E357" s="400"/>
      <c r="F357" s="400"/>
      <c r="G357" s="400"/>
    </row>
    <row r="358" spans="5:7">
      <c r="E358" s="400"/>
      <c r="F358" s="400"/>
      <c r="G358" s="400"/>
    </row>
    <row r="359" spans="5:7">
      <c r="E359" s="400"/>
      <c r="F359" s="400"/>
      <c r="G359" s="400"/>
    </row>
    <row r="360" spans="5:7">
      <c r="E360" s="400"/>
      <c r="F360" s="400"/>
      <c r="G360" s="400"/>
    </row>
    <row r="361" spans="5:7">
      <c r="E361" s="400"/>
      <c r="F361" s="400"/>
      <c r="G361" s="400"/>
    </row>
    <row r="362" spans="5:7">
      <c r="E362" s="400"/>
      <c r="F362" s="400"/>
      <c r="G362" s="400"/>
    </row>
    <row r="363" spans="5:7">
      <c r="E363" s="400"/>
      <c r="F363" s="400"/>
      <c r="G363" s="400"/>
    </row>
    <row r="364" spans="5:7">
      <c r="E364" s="400"/>
      <c r="F364" s="400"/>
      <c r="G364" s="400"/>
    </row>
    <row r="365" spans="5:7">
      <c r="E365" s="400"/>
      <c r="F365" s="400"/>
      <c r="G365" s="400"/>
    </row>
    <row r="366" spans="5:7">
      <c r="E366" s="400"/>
      <c r="F366" s="400"/>
      <c r="G366" s="400"/>
    </row>
    <row r="367" spans="5:7">
      <c r="E367" s="400"/>
      <c r="F367" s="400"/>
      <c r="G367" s="400"/>
    </row>
    <row r="368" spans="5:7">
      <c r="E368" s="400"/>
      <c r="F368" s="400"/>
      <c r="G368" s="400"/>
    </row>
    <row r="369" spans="5:7">
      <c r="E369" s="400"/>
      <c r="F369" s="400"/>
      <c r="G369" s="400"/>
    </row>
    <row r="370" spans="5:7">
      <c r="E370" s="400"/>
      <c r="F370" s="400"/>
      <c r="G370" s="400"/>
    </row>
    <row r="371" spans="5:7">
      <c r="E371" s="400"/>
      <c r="F371" s="400"/>
      <c r="G371" s="400"/>
    </row>
    <row r="372" spans="5:7">
      <c r="E372" s="400"/>
      <c r="F372" s="400"/>
      <c r="G372" s="400"/>
    </row>
    <row r="373" spans="5:7">
      <c r="E373" s="400"/>
      <c r="F373" s="400"/>
      <c r="G373" s="400"/>
    </row>
    <row r="374" spans="5:7">
      <c r="E374" s="400"/>
      <c r="F374" s="400"/>
      <c r="G374" s="400"/>
    </row>
    <row r="375" spans="5:7">
      <c r="E375" s="400"/>
      <c r="F375" s="400"/>
      <c r="G375" s="400"/>
    </row>
    <row r="376" spans="5:7">
      <c r="E376" s="400"/>
      <c r="F376" s="400"/>
      <c r="G376" s="400"/>
    </row>
    <row r="377" spans="5:7">
      <c r="E377" s="400"/>
      <c r="F377" s="400"/>
      <c r="G377" s="400"/>
    </row>
    <row r="378" spans="5:7">
      <c r="E378" s="400"/>
      <c r="F378" s="400"/>
      <c r="G378" s="400"/>
    </row>
    <row r="379" spans="5:7">
      <c r="E379" s="400"/>
      <c r="F379" s="400"/>
      <c r="G379" s="400"/>
    </row>
    <row r="380" spans="5:7">
      <c r="E380" s="400"/>
      <c r="F380" s="400"/>
      <c r="G380" s="400"/>
    </row>
    <row r="381" spans="5:7">
      <c r="E381" s="400"/>
      <c r="F381" s="400"/>
      <c r="G381" s="400"/>
    </row>
    <row r="382" spans="5:7">
      <c r="E382" s="400"/>
      <c r="F382" s="400"/>
      <c r="G382" s="400"/>
    </row>
    <row r="383" spans="5:7">
      <c r="E383" s="400"/>
      <c r="F383" s="400"/>
      <c r="G383" s="400"/>
    </row>
    <row r="384" spans="5:7">
      <c r="E384" s="400"/>
      <c r="F384" s="400"/>
      <c r="G384" s="400"/>
    </row>
    <row r="385" spans="5:7">
      <c r="E385" s="400"/>
      <c r="F385" s="400"/>
      <c r="G385" s="400"/>
    </row>
    <row r="386" spans="5:7">
      <c r="E386" s="400"/>
      <c r="F386" s="400"/>
      <c r="G386" s="400"/>
    </row>
    <row r="387" spans="5:7">
      <c r="E387" s="400"/>
      <c r="F387" s="400"/>
      <c r="G387" s="400"/>
    </row>
    <row r="388" spans="5:7">
      <c r="E388" s="400"/>
      <c r="F388" s="400"/>
      <c r="G388" s="400"/>
    </row>
    <row r="389" spans="5:7">
      <c r="E389" s="400"/>
      <c r="F389" s="400"/>
      <c r="G389" s="400"/>
    </row>
    <row r="390" spans="5:7">
      <c r="E390" s="400"/>
      <c r="F390" s="400"/>
      <c r="G390" s="400"/>
    </row>
    <row r="391" spans="5:7">
      <c r="E391" s="400"/>
      <c r="F391" s="400"/>
      <c r="G391" s="400"/>
    </row>
    <row r="392" spans="5:7">
      <c r="E392" s="400"/>
      <c r="F392" s="400"/>
      <c r="G392" s="400"/>
    </row>
    <row r="393" spans="5:7">
      <c r="E393" s="400"/>
      <c r="F393" s="400"/>
      <c r="G393" s="400"/>
    </row>
    <row r="394" spans="5:7">
      <c r="E394" s="400"/>
      <c r="F394" s="400"/>
      <c r="G394" s="400"/>
    </row>
    <row r="395" spans="5:7">
      <c r="E395" s="400"/>
      <c r="F395" s="400"/>
      <c r="G395" s="400"/>
    </row>
    <row r="396" spans="5:7">
      <c r="E396" s="400"/>
      <c r="F396" s="400"/>
      <c r="G396" s="400"/>
    </row>
    <row r="397" spans="5:7">
      <c r="E397" s="400"/>
      <c r="F397" s="400"/>
      <c r="G397" s="400"/>
    </row>
    <row r="398" spans="5:7">
      <c r="E398" s="400"/>
      <c r="F398" s="400"/>
      <c r="G398" s="400"/>
    </row>
    <row r="399" spans="5:7">
      <c r="E399" s="400"/>
      <c r="F399" s="400"/>
      <c r="G399" s="400"/>
    </row>
    <row r="400" spans="5:7">
      <c r="E400" s="400"/>
      <c r="F400" s="400"/>
      <c r="G400" s="400"/>
    </row>
    <row r="401" spans="5:7">
      <c r="E401" s="400"/>
      <c r="F401" s="400"/>
      <c r="G401" s="400"/>
    </row>
    <row r="402" spans="5:7">
      <c r="E402" s="400"/>
      <c r="F402" s="400"/>
      <c r="G402" s="400"/>
    </row>
    <row r="403" spans="5:7">
      <c r="E403" s="400"/>
      <c r="F403" s="400"/>
      <c r="G403" s="400"/>
    </row>
    <row r="404" spans="5:7">
      <c r="E404" s="400"/>
      <c r="F404" s="400"/>
      <c r="G404" s="400"/>
    </row>
    <row r="405" spans="5:7">
      <c r="E405" s="400"/>
      <c r="F405" s="400"/>
      <c r="G405" s="400"/>
    </row>
    <row r="406" spans="5:7">
      <c r="E406" s="400"/>
      <c r="F406" s="400"/>
      <c r="G406" s="400"/>
    </row>
    <row r="407" spans="5:7">
      <c r="E407" s="400"/>
      <c r="F407" s="400"/>
      <c r="G407" s="400"/>
    </row>
    <row r="408" spans="5:7">
      <c r="E408" s="400"/>
      <c r="F408" s="400"/>
      <c r="G408" s="400"/>
    </row>
    <row r="409" spans="5:7">
      <c r="E409" s="400"/>
      <c r="F409" s="400"/>
      <c r="G409" s="400"/>
    </row>
    <row r="410" spans="5:7">
      <c r="E410" s="400"/>
      <c r="F410" s="400"/>
      <c r="G410" s="400"/>
    </row>
    <row r="411" spans="5:7">
      <c r="E411" s="400"/>
      <c r="F411" s="400"/>
      <c r="G411" s="400"/>
    </row>
    <row r="412" spans="5:7">
      <c r="E412" s="400"/>
      <c r="F412" s="400"/>
      <c r="G412" s="400"/>
    </row>
    <row r="413" spans="5:7">
      <c r="E413" s="400"/>
      <c r="F413" s="400"/>
      <c r="G413" s="400"/>
    </row>
    <row r="414" spans="5:7">
      <c r="E414" s="400"/>
      <c r="F414" s="400"/>
      <c r="G414" s="400"/>
    </row>
    <row r="415" spans="5:7">
      <c r="E415" s="400"/>
      <c r="F415" s="400"/>
      <c r="G415" s="400"/>
    </row>
    <row r="416" spans="5:7">
      <c r="E416" s="400"/>
      <c r="F416" s="400"/>
      <c r="G416" s="400"/>
    </row>
    <row r="417" spans="5:7">
      <c r="E417" s="400"/>
      <c r="F417" s="400"/>
      <c r="G417" s="400"/>
    </row>
    <row r="418" spans="5:7">
      <c r="E418" s="400"/>
      <c r="F418" s="400"/>
      <c r="G418" s="400"/>
    </row>
    <row r="419" spans="5:7">
      <c r="E419" s="400"/>
      <c r="F419" s="400"/>
      <c r="G419" s="400"/>
    </row>
    <row r="420" spans="5:7">
      <c r="E420" s="400"/>
      <c r="F420" s="400"/>
      <c r="G420" s="400"/>
    </row>
    <row r="421" spans="5:7">
      <c r="E421" s="400"/>
      <c r="F421" s="400"/>
      <c r="G421" s="400"/>
    </row>
    <row r="422" spans="5:7">
      <c r="E422" s="400"/>
      <c r="F422" s="400"/>
      <c r="G422" s="400"/>
    </row>
    <row r="423" spans="5:7">
      <c r="E423" s="400"/>
      <c r="F423" s="400"/>
      <c r="G423" s="400"/>
    </row>
    <row r="424" spans="5:7">
      <c r="E424" s="400"/>
      <c r="F424" s="400"/>
      <c r="G424" s="400"/>
    </row>
    <row r="425" spans="5:7">
      <c r="E425" s="400"/>
      <c r="F425" s="400"/>
      <c r="G425" s="400"/>
    </row>
    <row r="426" spans="5:7">
      <c r="E426" s="400"/>
      <c r="F426" s="400"/>
      <c r="G426" s="400"/>
    </row>
    <row r="427" spans="5:7">
      <c r="E427" s="400"/>
      <c r="F427" s="400"/>
      <c r="G427" s="400"/>
    </row>
    <row r="428" spans="5:7">
      <c r="E428" s="400"/>
      <c r="F428" s="400"/>
      <c r="G428" s="400"/>
    </row>
    <row r="429" spans="5:7">
      <c r="E429" s="400"/>
      <c r="F429" s="400"/>
      <c r="G429" s="400"/>
    </row>
    <row r="430" spans="5:7">
      <c r="E430" s="400"/>
      <c r="F430" s="400"/>
      <c r="G430" s="400"/>
    </row>
    <row r="431" spans="5:7">
      <c r="E431" s="400"/>
      <c r="F431" s="400"/>
      <c r="G431" s="400"/>
    </row>
    <row r="432" spans="5:7">
      <c r="E432" s="400"/>
      <c r="F432" s="400"/>
      <c r="G432" s="400"/>
    </row>
    <row r="433" spans="5:7">
      <c r="E433" s="400"/>
      <c r="F433" s="400"/>
      <c r="G433" s="400"/>
    </row>
    <row r="434" spans="5:7">
      <c r="E434" s="400"/>
      <c r="F434" s="400"/>
      <c r="G434" s="400"/>
    </row>
    <row r="435" spans="5:7">
      <c r="E435" s="400"/>
      <c r="F435" s="400"/>
      <c r="G435" s="400"/>
    </row>
    <row r="436" spans="5:7">
      <c r="E436" s="400"/>
      <c r="F436" s="400"/>
      <c r="G436" s="400"/>
    </row>
    <row r="437" spans="5:7">
      <c r="E437" s="400"/>
      <c r="F437" s="400"/>
      <c r="G437" s="400"/>
    </row>
    <row r="438" spans="5:7">
      <c r="E438" s="400"/>
      <c r="F438" s="400"/>
      <c r="G438" s="400"/>
    </row>
    <row r="439" spans="5:7">
      <c r="E439" s="400"/>
      <c r="F439" s="400"/>
      <c r="G439" s="400"/>
    </row>
    <row r="440" spans="5:7">
      <c r="E440" s="400"/>
      <c r="F440" s="400"/>
      <c r="G440" s="400"/>
    </row>
    <row r="441" spans="5:7">
      <c r="E441" s="400"/>
      <c r="F441" s="400"/>
      <c r="G441" s="400"/>
    </row>
    <row r="442" spans="5:7">
      <c r="E442" s="400"/>
      <c r="F442" s="400"/>
      <c r="G442" s="400"/>
    </row>
    <row r="443" spans="5:7">
      <c r="E443" s="400"/>
      <c r="F443" s="400"/>
      <c r="G443" s="400"/>
    </row>
    <row r="444" spans="5:7">
      <c r="E444" s="400"/>
      <c r="F444" s="400"/>
      <c r="G444" s="400"/>
    </row>
    <row r="445" spans="5:7">
      <c r="E445" s="400"/>
      <c r="F445" s="400"/>
      <c r="G445" s="400"/>
    </row>
    <row r="446" spans="5:7">
      <c r="E446" s="400"/>
      <c r="F446" s="400"/>
      <c r="G446" s="400"/>
    </row>
    <row r="447" spans="5:7">
      <c r="E447" s="400"/>
      <c r="F447" s="400"/>
      <c r="G447" s="400"/>
    </row>
    <row r="448" spans="5:7">
      <c r="E448" s="400"/>
      <c r="F448" s="400"/>
      <c r="G448" s="400"/>
    </row>
    <row r="449" spans="5:7">
      <c r="E449" s="400"/>
      <c r="F449" s="400"/>
      <c r="G449" s="400"/>
    </row>
    <row r="450" spans="5:7">
      <c r="E450" s="400"/>
      <c r="F450" s="400"/>
      <c r="G450" s="400"/>
    </row>
    <row r="451" spans="5:7">
      <c r="E451" s="400"/>
      <c r="F451" s="400"/>
      <c r="G451" s="400"/>
    </row>
    <row r="452" spans="5:7">
      <c r="E452" s="400"/>
      <c r="F452" s="400"/>
      <c r="G452" s="400"/>
    </row>
    <row r="453" spans="5:7">
      <c r="E453" s="400"/>
      <c r="F453" s="400"/>
      <c r="G453" s="400"/>
    </row>
    <row r="454" spans="5:7">
      <c r="E454" s="400"/>
      <c r="F454" s="400"/>
      <c r="G454" s="400"/>
    </row>
    <row r="455" spans="5:7">
      <c r="E455" s="400"/>
      <c r="F455" s="400"/>
      <c r="G455" s="400"/>
    </row>
    <row r="456" spans="5:7">
      <c r="E456" s="400"/>
      <c r="F456" s="400"/>
      <c r="G456" s="400"/>
    </row>
    <row r="457" spans="5:7">
      <c r="E457" s="400"/>
      <c r="F457" s="400"/>
      <c r="G457" s="400"/>
    </row>
    <row r="458" spans="5:7">
      <c r="E458" s="400"/>
      <c r="F458" s="400"/>
      <c r="G458" s="400"/>
    </row>
    <row r="459" spans="5:7">
      <c r="E459" s="400"/>
      <c r="F459" s="400"/>
      <c r="G459" s="400"/>
    </row>
    <row r="460" spans="5:7">
      <c r="E460" s="400"/>
      <c r="F460" s="400"/>
      <c r="G460" s="400"/>
    </row>
    <row r="461" spans="5:7">
      <c r="E461" s="400"/>
      <c r="F461" s="400"/>
      <c r="G461" s="400"/>
    </row>
    <row r="462" spans="5:7">
      <c r="E462" s="400"/>
      <c r="F462" s="400"/>
      <c r="G462" s="400"/>
    </row>
    <row r="463" spans="5:7">
      <c r="E463" s="400"/>
      <c r="F463" s="400"/>
      <c r="G463" s="400"/>
    </row>
    <row r="464" spans="5:7">
      <c r="E464" s="400"/>
      <c r="F464" s="400"/>
      <c r="G464" s="400"/>
    </row>
    <row r="465" spans="5:7">
      <c r="E465" s="400"/>
      <c r="F465" s="400"/>
      <c r="G465" s="400"/>
    </row>
    <row r="466" spans="5:7">
      <c r="E466" s="400"/>
      <c r="F466" s="400"/>
      <c r="G466" s="400"/>
    </row>
    <row r="467" spans="5:7">
      <c r="E467" s="400"/>
      <c r="F467" s="400"/>
      <c r="G467" s="400"/>
    </row>
    <row r="468" spans="5:7">
      <c r="E468" s="400"/>
      <c r="F468" s="400"/>
      <c r="G468" s="400"/>
    </row>
    <row r="469" spans="5:7">
      <c r="E469" s="400"/>
      <c r="F469" s="400"/>
      <c r="G469" s="400"/>
    </row>
    <row r="470" spans="5:7">
      <c r="E470" s="400"/>
      <c r="F470" s="400"/>
      <c r="G470" s="400"/>
    </row>
    <row r="471" spans="5:7">
      <c r="E471" s="400"/>
      <c r="F471" s="400"/>
      <c r="G471" s="400"/>
    </row>
    <row r="472" spans="5:7">
      <c r="E472" s="400"/>
      <c r="F472" s="400"/>
      <c r="G472" s="400"/>
    </row>
    <row r="473" spans="5:7">
      <c r="E473" s="400"/>
      <c r="F473" s="400"/>
      <c r="G473" s="400"/>
    </row>
    <row r="474" spans="5:7">
      <c r="E474" s="400"/>
      <c r="F474" s="400"/>
      <c r="G474" s="400"/>
    </row>
    <row r="475" spans="5:7">
      <c r="E475" s="400"/>
      <c r="F475" s="400"/>
      <c r="G475" s="400"/>
    </row>
    <row r="476" spans="5:7">
      <c r="E476" s="400"/>
      <c r="F476" s="400"/>
      <c r="G476" s="400"/>
    </row>
    <row r="477" spans="5:7">
      <c r="E477" s="400"/>
      <c r="F477" s="400"/>
      <c r="G477" s="400"/>
    </row>
    <row r="478" spans="5:7">
      <c r="E478" s="400"/>
      <c r="F478" s="400"/>
      <c r="G478" s="400"/>
    </row>
    <row r="479" spans="5:7">
      <c r="E479" s="400"/>
      <c r="F479" s="400"/>
      <c r="G479" s="400"/>
    </row>
    <row r="480" spans="5:7">
      <c r="E480" s="400"/>
      <c r="F480" s="400"/>
      <c r="G480" s="400"/>
    </row>
    <row r="481" spans="5:7">
      <c r="E481" s="400"/>
      <c r="F481" s="400"/>
      <c r="G481" s="400"/>
    </row>
    <row r="482" spans="5:7">
      <c r="E482" s="400"/>
      <c r="F482" s="400"/>
      <c r="G482" s="400"/>
    </row>
    <row r="483" spans="5:7">
      <c r="E483" s="400"/>
      <c r="F483" s="400"/>
      <c r="G483" s="400"/>
    </row>
    <row r="484" spans="5:7">
      <c r="E484" s="400"/>
      <c r="F484" s="400"/>
      <c r="G484" s="400"/>
    </row>
    <row r="485" spans="5:7">
      <c r="E485" s="400"/>
      <c r="F485" s="400"/>
      <c r="G485" s="400"/>
    </row>
    <row r="486" spans="5:7">
      <c r="E486" s="400"/>
      <c r="F486" s="400"/>
      <c r="G486" s="400"/>
    </row>
    <row r="487" spans="5:7">
      <c r="E487" s="400"/>
      <c r="F487" s="400"/>
      <c r="G487" s="400"/>
    </row>
    <row r="488" spans="5:7">
      <c r="E488" s="400"/>
      <c r="F488" s="400"/>
      <c r="G488" s="400"/>
    </row>
    <row r="489" spans="5:7">
      <c r="E489" s="400"/>
      <c r="F489" s="400"/>
      <c r="G489" s="400"/>
    </row>
    <row r="490" spans="5:7">
      <c r="E490" s="400"/>
      <c r="F490" s="400"/>
      <c r="G490" s="400"/>
    </row>
    <row r="491" spans="5:7">
      <c r="E491" s="400"/>
      <c r="F491" s="400"/>
      <c r="G491" s="400"/>
    </row>
    <row r="492" spans="5:7">
      <c r="E492" s="400"/>
      <c r="F492" s="400"/>
      <c r="G492" s="400"/>
    </row>
    <row r="493" spans="5:7">
      <c r="E493" s="400"/>
      <c r="F493" s="400"/>
      <c r="G493" s="400"/>
    </row>
    <row r="494" spans="5:7">
      <c r="E494" s="400"/>
      <c r="F494" s="400"/>
      <c r="G494" s="400"/>
    </row>
    <row r="495" spans="5:7">
      <c r="E495" s="400"/>
      <c r="F495" s="400"/>
      <c r="G495" s="400"/>
    </row>
    <row r="496" spans="5:7">
      <c r="E496" s="400"/>
      <c r="F496" s="400"/>
      <c r="G496" s="400"/>
    </row>
    <row r="497" spans="5:7">
      <c r="E497" s="400"/>
      <c r="F497" s="400"/>
      <c r="G497" s="400"/>
    </row>
    <row r="498" spans="5:7">
      <c r="E498" s="400"/>
      <c r="F498" s="400"/>
      <c r="G498" s="400"/>
    </row>
    <row r="499" spans="5:7">
      <c r="E499" s="400"/>
      <c r="F499" s="400"/>
      <c r="G499" s="400"/>
    </row>
    <row r="500" spans="5:7">
      <c r="E500" s="400"/>
      <c r="F500" s="400"/>
      <c r="G500" s="400"/>
    </row>
    <row r="501" spans="5:7">
      <c r="E501" s="400"/>
      <c r="F501" s="400"/>
      <c r="G501" s="400"/>
    </row>
    <row r="502" spans="5:7">
      <c r="E502" s="400"/>
      <c r="F502" s="400"/>
      <c r="G502" s="400"/>
    </row>
    <row r="503" spans="5:7">
      <c r="E503" s="400"/>
      <c r="F503" s="400"/>
      <c r="G503" s="400"/>
    </row>
    <row r="504" spans="5:7">
      <c r="E504" s="400"/>
      <c r="F504" s="400"/>
      <c r="G504" s="400"/>
    </row>
    <row r="505" spans="5:7">
      <c r="E505" s="400"/>
      <c r="F505" s="400"/>
      <c r="G505" s="400"/>
    </row>
    <row r="506" spans="5:7">
      <c r="E506" s="400"/>
      <c r="F506" s="400"/>
      <c r="G506" s="400"/>
    </row>
    <row r="507" spans="5:7">
      <c r="E507" s="400"/>
      <c r="F507" s="400"/>
      <c r="G507" s="400"/>
    </row>
    <row r="508" spans="5:7">
      <c r="E508" s="400"/>
      <c r="F508" s="400"/>
      <c r="G508" s="400"/>
    </row>
    <row r="509" spans="5:7">
      <c r="E509" s="400"/>
      <c r="F509" s="400"/>
      <c r="G509" s="400"/>
    </row>
    <row r="510" spans="5:7">
      <c r="E510" s="400"/>
      <c r="F510" s="400"/>
      <c r="G510" s="400"/>
    </row>
    <row r="511" spans="5:7">
      <c r="E511" s="400"/>
      <c r="F511" s="400"/>
      <c r="G511" s="400"/>
    </row>
    <row r="512" spans="5:7">
      <c r="E512" s="400"/>
      <c r="F512" s="400"/>
      <c r="G512" s="400"/>
    </row>
    <row r="513" spans="5:7">
      <c r="E513" s="400"/>
      <c r="F513" s="400"/>
      <c r="G513" s="400"/>
    </row>
    <row r="514" spans="5:7">
      <c r="E514" s="400"/>
      <c r="F514" s="400"/>
      <c r="G514" s="400"/>
    </row>
    <row r="515" spans="5:7">
      <c r="E515" s="400"/>
      <c r="F515" s="400"/>
      <c r="G515" s="400"/>
    </row>
    <row r="516" spans="5:7">
      <c r="E516" s="400"/>
      <c r="F516" s="400"/>
      <c r="G516" s="400"/>
    </row>
    <row r="517" spans="5:7">
      <c r="E517" s="400"/>
      <c r="F517" s="400"/>
      <c r="G517" s="400"/>
    </row>
    <row r="518" spans="5:7">
      <c r="E518" s="400"/>
      <c r="F518" s="400"/>
      <c r="G518" s="400"/>
    </row>
    <row r="519" spans="5:7">
      <c r="E519" s="400"/>
      <c r="F519" s="400"/>
      <c r="G519" s="400"/>
    </row>
    <row r="520" spans="5:7">
      <c r="E520" s="400"/>
      <c r="F520" s="400"/>
      <c r="G520" s="400"/>
    </row>
    <row r="521" spans="5:7">
      <c r="E521" s="400"/>
      <c r="F521" s="400"/>
      <c r="G521" s="400"/>
    </row>
    <row r="522" spans="5:7">
      <c r="E522" s="400"/>
      <c r="F522" s="400"/>
      <c r="G522" s="400"/>
    </row>
    <row r="523" spans="5:7">
      <c r="E523" s="400"/>
      <c r="F523" s="400"/>
      <c r="G523" s="400"/>
    </row>
    <row r="524" spans="5:7">
      <c r="E524" s="400"/>
      <c r="F524" s="400"/>
      <c r="G524" s="400"/>
    </row>
    <row r="525" spans="5:7">
      <c r="E525" s="400"/>
      <c r="F525" s="400"/>
      <c r="G525" s="400"/>
    </row>
    <row r="526" spans="5:7">
      <c r="E526" s="400"/>
      <c r="F526" s="400"/>
      <c r="G526" s="400"/>
    </row>
    <row r="527" spans="5:7">
      <c r="E527" s="400"/>
      <c r="F527" s="400"/>
      <c r="G527" s="400"/>
    </row>
    <row r="528" spans="5:7">
      <c r="E528" s="400"/>
      <c r="F528" s="400"/>
      <c r="G528" s="400"/>
    </row>
    <row r="529" spans="5:7">
      <c r="E529" s="400"/>
      <c r="F529" s="400"/>
      <c r="G529" s="400"/>
    </row>
    <row r="530" spans="5:7">
      <c r="E530" s="400"/>
      <c r="F530" s="400"/>
      <c r="G530" s="400"/>
    </row>
    <row r="531" spans="5:7">
      <c r="E531" s="400"/>
      <c r="F531" s="400"/>
      <c r="G531" s="400"/>
    </row>
    <row r="532" spans="5:7">
      <c r="E532" s="400"/>
      <c r="F532" s="400"/>
      <c r="G532" s="400"/>
    </row>
    <row r="533" spans="5:7">
      <c r="E533" s="400"/>
      <c r="F533" s="400"/>
      <c r="G533" s="400"/>
    </row>
    <row r="534" spans="5:7">
      <c r="E534" s="400"/>
      <c r="F534" s="400"/>
      <c r="G534" s="400"/>
    </row>
    <row r="535" spans="5:7">
      <c r="E535" s="400"/>
      <c r="F535" s="400"/>
      <c r="G535" s="400"/>
    </row>
    <row r="536" spans="5:7">
      <c r="E536" s="400"/>
      <c r="F536" s="400"/>
      <c r="G536" s="400"/>
    </row>
    <row r="537" spans="5:7">
      <c r="E537" s="400"/>
      <c r="F537" s="400"/>
      <c r="G537" s="400"/>
    </row>
    <row r="538" spans="5:7">
      <c r="E538" s="400"/>
      <c r="F538" s="400"/>
      <c r="G538" s="400"/>
    </row>
    <row r="539" spans="5:7">
      <c r="E539" s="400"/>
      <c r="F539" s="400"/>
      <c r="G539" s="400"/>
    </row>
    <row r="540" spans="5:7">
      <c r="E540" s="400"/>
      <c r="F540" s="400"/>
      <c r="G540" s="400"/>
    </row>
    <row r="541" spans="5:7">
      <c r="E541" s="400"/>
      <c r="F541" s="400"/>
      <c r="G541" s="400"/>
    </row>
    <row r="542" spans="5:7">
      <c r="E542" s="400"/>
      <c r="F542" s="400"/>
      <c r="G542" s="400"/>
    </row>
    <row r="543" spans="5:7">
      <c r="E543" s="400"/>
      <c r="F543" s="400"/>
      <c r="G543" s="400"/>
    </row>
    <row r="544" spans="5:7">
      <c r="E544" s="400"/>
      <c r="F544" s="400"/>
      <c r="G544" s="400"/>
    </row>
    <row r="545" spans="5:7">
      <c r="E545" s="400"/>
      <c r="F545" s="400"/>
      <c r="G545" s="400"/>
    </row>
    <row r="546" spans="5:7">
      <c r="E546" s="400"/>
      <c r="F546" s="400"/>
      <c r="G546" s="400"/>
    </row>
    <row r="547" spans="5:7">
      <c r="E547" s="400"/>
      <c r="F547" s="400"/>
      <c r="G547" s="400"/>
    </row>
    <row r="548" spans="5:7">
      <c r="E548" s="400"/>
      <c r="F548" s="400"/>
      <c r="G548" s="400"/>
    </row>
    <row r="549" spans="5:7">
      <c r="E549" s="400"/>
      <c r="F549" s="400"/>
      <c r="G549" s="400"/>
    </row>
    <row r="550" spans="5:7">
      <c r="E550" s="400"/>
      <c r="F550" s="400"/>
      <c r="G550" s="400"/>
    </row>
    <row r="551" spans="5:7">
      <c r="E551" s="400"/>
      <c r="F551" s="400"/>
      <c r="G551" s="400"/>
    </row>
    <row r="552" spans="5:7">
      <c r="E552" s="400"/>
      <c r="F552" s="400"/>
      <c r="G552" s="400"/>
    </row>
    <row r="553" spans="5:7">
      <c r="E553" s="400"/>
      <c r="F553" s="400"/>
      <c r="G553" s="400"/>
    </row>
    <row r="554" spans="5:7">
      <c r="E554" s="400"/>
      <c r="F554" s="400"/>
      <c r="G554" s="400"/>
    </row>
    <row r="555" spans="5:7">
      <c r="E555" s="400"/>
      <c r="F555" s="400"/>
      <c r="G555" s="400"/>
    </row>
    <row r="556" spans="5:7">
      <c r="E556" s="400"/>
      <c r="F556" s="400"/>
      <c r="G556" s="400"/>
    </row>
    <row r="557" spans="5:7">
      <c r="E557" s="400"/>
      <c r="F557" s="400"/>
      <c r="G557" s="400"/>
    </row>
    <row r="558" spans="5:7">
      <c r="E558" s="400"/>
      <c r="F558" s="400"/>
      <c r="G558" s="400"/>
    </row>
    <row r="559" spans="5:7">
      <c r="E559" s="400"/>
      <c r="F559" s="400"/>
      <c r="G559" s="400"/>
    </row>
    <row r="560" spans="5:7">
      <c r="E560" s="400"/>
      <c r="F560" s="400"/>
      <c r="G560" s="400"/>
    </row>
    <row r="561" spans="5:7">
      <c r="E561" s="400"/>
      <c r="F561" s="400"/>
      <c r="G561" s="400"/>
    </row>
    <row r="562" spans="5:7">
      <c r="E562" s="400"/>
      <c r="F562" s="400"/>
      <c r="G562" s="400"/>
    </row>
    <row r="563" spans="5:7">
      <c r="E563" s="400"/>
      <c r="F563" s="400"/>
      <c r="G563" s="400"/>
    </row>
    <row r="564" spans="5:7">
      <c r="E564" s="400"/>
      <c r="F564" s="400"/>
      <c r="G564" s="400"/>
    </row>
    <row r="565" spans="5:7">
      <c r="E565" s="400"/>
      <c r="F565" s="400"/>
      <c r="G565" s="400"/>
    </row>
    <row r="566" spans="5:7">
      <c r="E566" s="400"/>
      <c r="F566" s="400"/>
      <c r="G566" s="400"/>
    </row>
    <row r="567" spans="5:7">
      <c r="E567" s="400"/>
      <c r="F567" s="400"/>
      <c r="G567" s="400"/>
    </row>
    <row r="568" spans="5:7">
      <c r="E568" s="400"/>
      <c r="F568" s="400"/>
      <c r="G568" s="400"/>
    </row>
    <row r="569" spans="5:7">
      <c r="E569" s="400"/>
      <c r="F569" s="400"/>
      <c r="G569" s="400"/>
    </row>
    <row r="570" spans="5:7">
      <c r="E570" s="400"/>
      <c r="F570" s="400"/>
      <c r="G570" s="400"/>
    </row>
    <row r="571" spans="5:7">
      <c r="E571" s="400"/>
      <c r="F571" s="400"/>
      <c r="G571" s="400"/>
    </row>
    <row r="572" spans="5:7">
      <c r="E572" s="400"/>
      <c r="F572" s="400"/>
      <c r="G572" s="400"/>
    </row>
    <row r="573" spans="5:7">
      <c r="E573" s="400"/>
      <c r="F573" s="400"/>
      <c r="G573" s="400"/>
    </row>
    <row r="574" spans="5:7">
      <c r="E574" s="400"/>
      <c r="F574" s="400"/>
      <c r="G574" s="400"/>
    </row>
    <row r="575" spans="5:7">
      <c r="E575" s="400"/>
      <c r="F575" s="400"/>
      <c r="G575" s="400"/>
    </row>
    <row r="576" spans="5:7">
      <c r="E576" s="400"/>
      <c r="F576" s="400"/>
      <c r="G576" s="400"/>
    </row>
    <row r="577" spans="5:7">
      <c r="E577" s="400"/>
      <c r="F577" s="400"/>
      <c r="G577" s="400"/>
    </row>
    <row r="578" spans="5:7">
      <c r="E578" s="400"/>
      <c r="F578" s="400"/>
      <c r="G578" s="400"/>
    </row>
    <row r="579" spans="5:7">
      <c r="E579" s="400"/>
      <c r="F579" s="400"/>
      <c r="G579" s="400"/>
    </row>
    <row r="580" spans="5:7">
      <c r="E580" s="400"/>
      <c r="F580" s="400"/>
      <c r="G580" s="400"/>
    </row>
    <row r="581" spans="5:7">
      <c r="E581" s="400"/>
      <c r="F581" s="400"/>
      <c r="G581" s="400"/>
    </row>
    <row r="582" spans="5:7">
      <c r="E582" s="400"/>
      <c r="F582" s="400"/>
      <c r="G582" s="400"/>
    </row>
    <row r="583" spans="5:7">
      <c r="E583" s="400"/>
      <c r="F583" s="400"/>
      <c r="G583" s="400"/>
    </row>
    <row r="584" spans="5:7">
      <c r="E584" s="400"/>
      <c r="F584" s="400"/>
      <c r="G584" s="400"/>
    </row>
    <row r="585" spans="5:7">
      <c r="E585" s="400"/>
      <c r="F585" s="400"/>
      <c r="G585" s="400"/>
    </row>
    <row r="586" spans="5:7">
      <c r="E586" s="400"/>
      <c r="F586" s="400"/>
      <c r="G586" s="400"/>
    </row>
    <row r="587" spans="5:7">
      <c r="E587" s="400"/>
      <c r="F587" s="400"/>
      <c r="G587" s="400"/>
    </row>
    <row r="588" spans="5:7">
      <c r="E588" s="400"/>
      <c r="F588" s="400"/>
      <c r="G588" s="400"/>
    </row>
    <row r="589" spans="5:7">
      <c r="E589" s="400"/>
      <c r="F589" s="400"/>
      <c r="G589" s="400"/>
    </row>
    <row r="590" spans="5:7">
      <c r="E590" s="400"/>
      <c r="F590" s="400"/>
      <c r="G590" s="400"/>
    </row>
    <row r="591" spans="5:7">
      <c r="E591" s="400"/>
      <c r="F591" s="400"/>
      <c r="G591" s="400"/>
    </row>
    <row r="592" spans="5:7">
      <c r="E592" s="400"/>
      <c r="F592" s="400"/>
      <c r="G592" s="400"/>
    </row>
    <row r="593" spans="5:7">
      <c r="E593" s="400"/>
      <c r="F593" s="400"/>
      <c r="G593" s="400"/>
    </row>
    <row r="594" spans="5:7">
      <c r="E594" s="400"/>
      <c r="F594" s="400"/>
      <c r="G594" s="400"/>
    </row>
    <row r="595" spans="5:7">
      <c r="E595" s="400"/>
      <c r="F595" s="400"/>
      <c r="G595" s="400"/>
    </row>
    <row r="596" spans="5:7">
      <c r="E596" s="400"/>
      <c r="F596" s="400"/>
      <c r="G596" s="400"/>
    </row>
    <row r="597" spans="5:7">
      <c r="E597" s="400"/>
      <c r="F597" s="400"/>
      <c r="G597" s="400"/>
    </row>
    <row r="598" spans="5:7">
      <c r="E598" s="400"/>
      <c r="F598" s="400"/>
      <c r="G598" s="400"/>
    </row>
    <row r="599" spans="5:7">
      <c r="E599" s="400"/>
      <c r="F599" s="400"/>
      <c r="G599" s="400"/>
    </row>
    <row r="600" spans="5:7">
      <c r="E600" s="400"/>
      <c r="F600" s="400"/>
      <c r="G600" s="400"/>
    </row>
    <row r="601" spans="5:7">
      <c r="E601" s="400"/>
      <c r="F601" s="400"/>
      <c r="G601" s="400"/>
    </row>
    <row r="602" spans="5:7">
      <c r="E602" s="400"/>
      <c r="F602" s="400"/>
      <c r="G602" s="400"/>
    </row>
    <row r="603" spans="5:7">
      <c r="E603" s="400"/>
      <c r="F603" s="400"/>
      <c r="G603" s="400"/>
    </row>
    <row r="604" spans="5:7">
      <c r="E604" s="400"/>
      <c r="F604" s="400"/>
      <c r="G604" s="400"/>
    </row>
    <row r="605" spans="5:7">
      <c r="E605" s="400"/>
      <c r="F605" s="400"/>
      <c r="G605" s="400"/>
    </row>
    <row r="606" spans="5:7">
      <c r="E606" s="400"/>
      <c r="F606" s="400"/>
      <c r="G606" s="400"/>
    </row>
    <row r="607" spans="5:7">
      <c r="E607" s="400"/>
      <c r="F607" s="400"/>
      <c r="G607" s="400"/>
    </row>
    <row r="608" spans="5:7">
      <c r="E608" s="400"/>
      <c r="F608" s="400"/>
      <c r="G608" s="400"/>
    </row>
    <row r="609" spans="5:7">
      <c r="E609" s="400"/>
      <c r="F609" s="400"/>
      <c r="G609" s="400"/>
    </row>
    <row r="610" spans="5:7">
      <c r="E610" s="400"/>
      <c r="F610" s="400"/>
      <c r="G610" s="400"/>
    </row>
    <row r="611" spans="5:7">
      <c r="E611" s="400"/>
      <c r="F611" s="400"/>
      <c r="G611" s="400"/>
    </row>
    <row r="612" spans="5:7">
      <c r="E612" s="400"/>
      <c r="F612" s="400"/>
      <c r="G612" s="400"/>
    </row>
    <row r="613" spans="5:7">
      <c r="E613" s="400"/>
      <c r="F613" s="400"/>
      <c r="G613" s="400"/>
    </row>
    <row r="614" spans="5:7">
      <c r="E614" s="400"/>
      <c r="F614" s="400"/>
      <c r="G614" s="400"/>
    </row>
    <row r="615" spans="5:7">
      <c r="E615" s="400"/>
      <c r="F615" s="400"/>
      <c r="G615" s="400"/>
    </row>
    <row r="616" spans="5:7">
      <c r="E616" s="400"/>
      <c r="F616" s="400"/>
      <c r="G616" s="400"/>
    </row>
    <row r="617" spans="5:7">
      <c r="E617" s="400"/>
      <c r="F617" s="400"/>
      <c r="G617" s="400"/>
    </row>
    <row r="618" spans="5:7">
      <c r="E618" s="400"/>
      <c r="F618" s="400"/>
      <c r="G618" s="400"/>
    </row>
    <row r="619" spans="5:7">
      <c r="E619" s="400"/>
      <c r="F619" s="400"/>
      <c r="G619" s="400"/>
    </row>
    <row r="620" spans="5:7">
      <c r="E620" s="400"/>
      <c r="F620" s="400"/>
      <c r="G620" s="400"/>
    </row>
    <row r="621" spans="5:7">
      <c r="E621" s="400"/>
      <c r="F621" s="400"/>
      <c r="G621" s="400"/>
    </row>
    <row r="622" spans="5:7">
      <c r="E622" s="400"/>
      <c r="F622" s="400"/>
      <c r="G622" s="400"/>
    </row>
    <row r="623" spans="5:7">
      <c r="E623" s="400"/>
      <c r="F623" s="400"/>
      <c r="G623" s="400"/>
    </row>
    <row r="624" spans="5:7">
      <c r="E624" s="400"/>
      <c r="F624" s="400"/>
      <c r="G624" s="400"/>
    </row>
    <row r="625" spans="5:7">
      <c r="E625" s="400"/>
      <c r="F625" s="400"/>
      <c r="G625" s="400"/>
    </row>
    <row r="626" spans="5:7">
      <c r="E626" s="400"/>
      <c r="F626" s="400"/>
      <c r="G626" s="400"/>
    </row>
    <row r="627" spans="5:7">
      <c r="E627" s="400"/>
      <c r="F627" s="400"/>
      <c r="G627" s="400"/>
    </row>
    <row r="628" spans="5:7">
      <c r="E628" s="400"/>
      <c r="F628" s="400"/>
      <c r="G628" s="400"/>
    </row>
    <row r="629" spans="5:7">
      <c r="E629" s="400"/>
      <c r="F629" s="400"/>
      <c r="G629" s="400"/>
    </row>
    <row r="630" spans="5:7">
      <c r="E630" s="400"/>
      <c r="F630" s="400"/>
      <c r="G630" s="400"/>
    </row>
    <row r="631" spans="5:7">
      <c r="E631" s="400"/>
      <c r="F631" s="400"/>
      <c r="G631" s="400"/>
    </row>
    <row r="632" spans="5:7">
      <c r="E632" s="400"/>
      <c r="F632" s="400"/>
      <c r="G632" s="400"/>
    </row>
    <row r="633" spans="5:7">
      <c r="E633" s="400"/>
      <c r="F633" s="400"/>
      <c r="G633" s="400"/>
    </row>
    <row r="634" spans="5:7">
      <c r="E634" s="400"/>
      <c r="F634" s="400"/>
      <c r="G634" s="400"/>
    </row>
    <row r="635" spans="5:7">
      <c r="E635" s="400"/>
      <c r="F635" s="400"/>
      <c r="G635" s="400"/>
    </row>
    <row r="636" spans="5:7">
      <c r="E636" s="400"/>
      <c r="F636" s="400"/>
      <c r="G636" s="400"/>
    </row>
    <row r="637" spans="5:7">
      <c r="E637" s="400"/>
      <c r="F637" s="400"/>
      <c r="G637" s="400"/>
    </row>
    <row r="638" spans="5:7">
      <c r="E638" s="400"/>
      <c r="F638" s="400"/>
      <c r="G638" s="400"/>
    </row>
    <row r="639" spans="5:7">
      <c r="E639" s="400"/>
      <c r="F639" s="400"/>
      <c r="G639" s="400"/>
    </row>
    <row r="640" spans="5:7">
      <c r="E640" s="400"/>
      <c r="F640" s="400"/>
      <c r="G640" s="400"/>
    </row>
    <row r="641" spans="5:7">
      <c r="E641" s="400"/>
      <c r="F641" s="400"/>
      <c r="G641" s="400"/>
    </row>
    <row r="642" spans="5:7">
      <c r="E642" s="400"/>
      <c r="F642" s="400"/>
      <c r="G642" s="400"/>
    </row>
    <row r="643" spans="5:7">
      <c r="E643" s="400"/>
      <c r="F643" s="400"/>
      <c r="G643" s="400"/>
    </row>
    <row r="644" spans="5:7">
      <c r="E644" s="400"/>
      <c r="F644" s="400"/>
      <c r="G644" s="400"/>
    </row>
    <row r="645" spans="5:7">
      <c r="E645" s="400"/>
      <c r="F645" s="400"/>
      <c r="G645" s="400"/>
    </row>
    <row r="646" spans="5:7">
      <c r="E646" s="400"/>
      <c r="F646" s="400"/>
      <c r="G646" s="400"/>
    </row>
    <row r="647" spans="5:7">
      <c r="E647" s="400"/>
      <c r="F647" s="400"/>
      <c r="G647" s="400"/>
    </row>
    <row r="648" spans="5:7">
      <c r="E648" s="400"/>
      <c r="F648" s="400"/>
      <c r="G648" s="400"/>
    </row>
    <row r="649" spans="5:7">
      <c r="E649" s="400"/>
      <c r="F649" s="400"/>
      <c r="G649" s="400"/>
    </row>
    <row r="650" spans="5:7">
      <c r="E650" s="400"/>
      <c r="F650" s="400"/>
      <c r="G650" s="400"/>
    </row>
    <row r="651" spans="5:7">
      <c r="E651" s="400"/>
      <c r="F651" s="400"/>
      <c r="G651" s="400"/>
    </row>
    <row r="652" spans="5:7">
      <c r="E652" s="400"/>
      <c r="F652" s="400"/>
      <c r="G652" s="400"/>
    </row>
    <row r="653" spans="5:7">
      <c r="E653" s="400"/>
      <c r="F653" s="400"/>
      <c r="G653" s="400"/>
    </row>
    <row r="654" spans="5:7">
      <c r="E654" s="400"/>
      <c r="F654" s="400"/>
      <c r="G654" s="400"/>
    </row>
    <row r="655" spans="5:7">
      <c r="E655" s="400"/>
      <c r="F655" s="400"/>
      <c r="G655" s="400"/>
    </row>
    <row r="656" spans="5:7">
      <c r="E656" s="400"/>
      <c r="F656" s="400"/>
      <c r="G656" s="400"/>
    </row>
    <row r="657" spans="5:7">
      <c r="E657" s="400"/>
      <c r="F657" s="400"/>
      <c r="G657" s="400"/>
    </row>
    <row r="658" spans="5:7">
      <c r="E658" s="400"/>
      <c r="F658" s="400"/>
      <c r="G658" s="400"/>
    </row>
    <row r="659" spans="5:7">
      <c r="E659" s="400"/>
      <c r="F659" s="400"/>
      <c r="G659" s="400"/>
    </row>
    <row r="660" spans="5:7">
      <c r="E660" s="400"/>
      <c r="F660" s="400"/>
      <c r="G660" s="400"/>
    </row>
    <row r="661" spans="5:7">
      <c r="E661" s="400"/>
      <c r="F661" s="400"/>
      <c r="G661" s="400"/>
    </row>
    <row r="662" spans="5:7">
      <c r="E662" s="400"/>
      <c r="F662" s="400"/>
      <c r="G662" s="400"/>
    </row>
    <row r="663" spans="5:7">
      <c r="E663" s="400"/>
      <c r="F663" s="400"/>
      <c r="G663" s="400"/>
    </row>
    <row r="664" spans="5:7">
      <c r="E664" s="400"/>
      <c r="F664" s="400"/>
      <c r="G664" s="400"/>
    </row>
    <row r="665" spans="5:7">
      <c r="E665" s="400"/>
      <c r="F665" s="400"/>
      <c r="G665" s="400"/>
    </row>
    <row r="666" spans="5:7">
      <c r="E666" s="400"/>
      <c r="F666" s="400"/>
      <c r="G666" s="400"/>
    </row>
    <row r="667" spans="5:7">
      <c r="E667" s="400"/>
      <c r="F667" s="400"/>
      <c r="G667" s="400"/>
    </row>
    <row r="668" spans="5:7">
      <c r="E668" s="400"/>
      <c r="F668" s="400"/>
      <c r="G668" s="400"/>
    </row>
    <row r="669" spans="5:7">
      <c r="E669" s="400"/>
      <c r="F669" s="400"/>
      <c r="G669" s="400"/>
    </row>
    <row r="670" spans="5:7">
      <c r="E670" s="400"/>
      <c r="F670" s="400"/>
      <c r="G670" s="400"/>
    </row>
    <row r="671" spans="5:7">
      <c r="E671" s="400"/>
      <c r="F671" s="400"/>
      <c r="G671" s="400"/>
    </row>
    <row r="672" spans="5:7">
      <c r="E672" s="400"/>
      <c r="F672" s="400"/>
      <c r="G672" s="400"/>
    </row>
    <row r="673" spans="5:7">
      <c r="E673" s="400"/>
      <c r="F673" s="400"/>
      <c r="G673" s="400"/>
    </row>
    <row r="674" spans="5:7">
      <c r="E674" s="400"/>
      <c r="F674" s="400"/>
      <c r="G674" s="400"/>
    </row>
    <row r="675" spans="5:7">
      <c r="E675" s="400"/>
      <c r="F675" s="400"/>
      <c r="G675" s="400"/>
    </row>
    <row r="676" spans="5:7">
      <c r="E676" s="400"/>
      <c r="F676" s="400"/>
      <c r="G676" s="400"/>
    </row>
    <row r="677" spans="5:7">
      <c r="E677" s="400"/>
      <c r="F677" s="400"/>
      <c r="G677" s="400"/>
    </row>
    <row r="678" spans="5:7">
      <c r="E678" s="400"/>
      <c r="F678" s="400"/>
      <c r="G678" s="400"/>
    </row>
    <row r="679" spans="5:7">
      <c r="E679" s="400"/>
      <c r="F679" s="400"/>
      <c r="G679" s="400"/>
    </row>
    <row r="680" spans="5:7">
      <c r="E680" s="400"/>
      <c r="F680" s="400"/>
      <c r="G680" s="400"/>
    </row>
    <row r="681" spans="5:7">
      <c r="E681" s="400"/>
      <c r="F681" s="400"/>
      <c r="G681" s="400"/>
    </row>
    <row r="682" spans="5:7">
      <c r="E682" s="400"/>
      <c r="F682" s="400"/>
      <c r="G682" s="400"/>
    </row>
    <row r="683" spans="5:7">
      <c r="E683" s="400"/>
      <c r="F683" s="400"/>
      <c r="G683" s="400"/>
    </row>
    <row r="684" spans="5:7">
      <c r="E684" s="400"/>
      <c r="F684" s="400"/>
      <c r="G684" s="400"/>
    </row>
    <row r="685" spans="5:7">
      <c r="E685" s="400"/>
      <c r="F685" s="400"/>
      <c r="G685" s="400"/>
    </row>
    <row r="686" spans="5:7">
      <c r="E686" s="400"/>
      <c r="F686" s="400"/>
      <c r="G686" s="400"/>
    </row>
    <row r="687" spans="5:7">
      <c r="E687" s="400"/>
      <c r="F687" s="400"/>
      <c r="G687" s="400"/>
    </row>
    <row r="688" spans="5:7">
      <c r="E688" s="400"/>
      <c r="F688" s="400"/>
      <c r="G688" s="400"/>
    </row>
    <row r="689" spans="5:7">
      <c r="E689" s="400"/>
      <c r="F689" s="400"/>
      <c r="G689" s="400"/>
    </row>
    <row r="690" spans="5:7">
      <c r="E690" s="400"/>
      <c r="F690" s="400"/>
      <c r="G690" s="400"/>
    </row>
    <row r="691" spans="5:7">
      <c r="E691" s="400"/>
      <c r="F691" s="400"/>
      <c r="G691" s="400"/>
    </row>
    <row r="692" spans="5:7">
      <c r="E692" s="400"/>
      <c r="F692" s="400"/>
      <c r="G692" s="400"/>
    </row>
    <row r="693" spans="5:7">
      <c r="E693" s="400"/>
      <c r="F693" s="400"/>
      <c r="G693" s="400"/>
    </row>
    <row r="694" spans="5:7">
      <c r="E694" s="400"/>
      <c r="F694" s="400"/>
      <c r="G694" s="400"/>
    </row>
    <row r="695" spans="5:7">
      <c r="E695" s="400"/>
      <c r="F695" s="400"/>
      <c r="G695" s="400"/>
    </row>
    <row r="696" spans="5:7">
      <c r="E696" s="400"/>
      <c r="F696" s="400"/>
      <c r="G696" s="400"/>
    </row>
    <row r="697" spans="5:7">
      <c r="E697" s="400"/>
      <c r="F697" s="400"/>
      <c r="G697" s="400"/>
    </row>
    <row r="698" spans="5:7">
      <c r="E698" s="400"/>
      <c r="F698" s="400"/>
      <c r="G698" s="400"/>
    </row>
    <row r="699" spans="5:7">
      <c r="E699" s="400"/>
      <c r="F699" s="400"/>
      <c r="G699" s="400"/>
    </row>
    <row r="700" spans="5:7">
      <c r="E700" s="400"/>
      <c r="F700" s="400"/>
      <c r="G700" s="400"/>
    </row>
    <row r="701" spans="5:7">
      <c r="E701" s="400"/>
      <c r="F701" s="400"/>
      <c r="G701" s="400"/>
    </row>
    <row r="702" spans="5:7">
      <c r="E702" s="400"/>
      <c r="F702" s="400"/>
      <c r="G702" s="400"/>
    </row>
    <row r="703" spans="5:7">
      <c r="E703" s="400"/>
      <c r="F703" s="400"/>
      <c r="G703" s="400"/>
    </row>
    <row r="704" spans="5:7">
      <c r="E704" s="400"/>
      <c r="F704" s="400"/>
      <c r="G704" s="400"/>
    </row>
    <row r="705" spans="5:7">
      <c r="E705" s="400"/>
      <c r="F705" s="400"/>
      <c r="G705" s="400"/>
    </row>
    <row r="706" spans="5:7">
      <c r="E706" s="400"/>
      <c r="F706" s="400"/>
      <c r="G706" s="400"/>
    </row>
    <row r="707" spans="5:7">
      <c r="E707" s="400"/>
      <c r="F707" s="400"/>
      <c r="G707" s="400"/>
    </row>
    <row r="708" spans="5:7">
      <c r="E708" s="400"/>
      <c r="F708" s="400"/>
      <c r="G708" s="400"/>
    </row>
    <row r="709" spans="5:7">
      <c r="E709" s="400"/>
      <c r="F709" s="400"/>
      <c r="G709" s="400"/>
    </row>
    <row r="710" spans="5:7">
      <c r="E710" s="400"/>
      <c r="F710" s="400"/>
      <c r="G710" s="400"/>
    </row>
    <row r="711" spans="5:7">
      <c r="E711" s="400"/>
      <c r="F711" s="400"/>
      <c r="G711" s="400"/>
    </row>
    <row r="712" spans="5:7">
      <c r="E712" s="400"/>
      <c r="F712" s="400"/>
      <c r="G712" s="400"/>
    </row>
    <row r="713" spans="5:7">
      <c r="E713" s="400"/>
      <c r="F713" s="400"/>
      <c r="G713" s="400"/>
    </row>
    <row r="714" spans="5:7">
      <c r="E714" s="400"/>
      <c r="F714" s="400"/>
      <c r="G714" s="400"/>
    </row>
    <row r="715" spans="5:7">
      <c r="E715" s="400"/>
      <c r="F715" s="400"/>
      <c r="G715" s="400"/>
    </row>
    <row r="716" spans="5:7">
      <c r="E716" s="400"/>
      <c r="F716" s="400"/>
      <c r="G716" s="400"/>
    </row>
    <row r="717" spans="5:7">
      <c r="E717" s="400"/>
      <c r="F717" s="400"/>
      <c r="G717" s="400"/>
    </row>
    <row r="718" spans="5:7">
      <c r="E718" s="400"/>
      <c r="F718" s="400"/>
      <c r="G718" s="400"/>
    </row>
    <row r="719" spans="5:7">
      <c r="E719" s="400"/>
      <c r="F719" s="400"/>
      <c r="G719" s="400"/>
    </row>
    <row r="720" spans="5:7">
      <c r="E720" s="400"/>
      <c r="F720" s="400"/>
      <c r="G720" s="400"/>
    </row>
    <row r="721" spans="5:7">
      <c r="E721" s="400"/>
      <c r="F721" s="400"/>
      <c r="G721" s="400"/>
    </row>
    <row r="722" spans="5:7">
      <c r="E722" s="400"/>
      <c r="F722" s="400"/>
      <c r="G722" s="400"/>
    </row>
    <row r="723" spans="5:7">
      <c r="E723" s="400"/>
      <c r="F723" s="400"/>
      <c r="G723" s="400"/>
    </row>
    <row r="724" spans="5:7">
      <c r="E724" s="400"/>
      <c r="F724" s="400"/>
      <c r="G724" s="400"/>
    </row>
    <row r="725" spans="5:7">
      <c r="E725" s="400"/>
      <c r="F725" s="400"/>
      <c r="G725" s="400"/>
    </row>
    <row r="726" spans="5:7">
      <c r="E726" s="400"/>
      <c r="F726" s="400"/>
      <c r="G726" s="400"/>
    </row>
    <row r="727" spans="5:7">
      <c r="E727" s="400"/>
      <c r="F727" s="400"/>
      <c r="G727" s="400"/>
    </row>
    <row r="728" spans="5:7">
      <c r="E728" s="400"/>
      <c r="F728" s="400"/>
      <c r="G728" s="400"/>
    </row>
    <row r="729" spans="5:7">
      <c r="E729" s="400"/>
      <c r="F729" s="400"/>
      <c r="G729" s="400"/>
    </row>
    <row r="730" spans="5:7">
      <c r="E730" s="400"/>
      <c r="F730" s="400"/>
      <c r="G730" s="400"/>
    </row>
    <row r="731" spans="5:7">
      <c r="E731" s="400"/>
      <c r="F731" s="400"/>
      <c r="G731" s="400"/>
    </row>
    <row r="732" spans="5:7">
      <c r="E732" s="400"/>
      <c r="F732" s="400"/>
      <c r="G732" s="400"/>
    </row>
    <row r="733" spans="5:7">
      <c r="E733" s="400"/>
      <c r="F733" s="400"/>
      <c r="G733" s="400"/>
    </row>
    <row r="734" spans="5:7">
      <c r="E734" s="400"/>
      <c r="F734" s="400"/>
      <c r="G734" s="400"/>
    </row>
    <row r="735" spans="5:7">
      <c r="E735" s="400"/>
      <c r="F735" s="400"/>
      <c r="G735" s="400"/>
    </row>
    <row r="736" spans="5:7">
      <c r="E736" s="400"/>
      <c r="F736" s="400"/>
      <c r="G736" s="400"/>
    </row>
    <row r="737" spans="5:7">
      <c r="E737" s="400"/>
      <c r="F737" s="400"/>
      <c r="G737" s="400"/>
    </row>
    <row r="738" spans="5:7">
      <c r="E738" s="400"/>
      <c r="F738" s="400"/>
      <c r="G738" s="400"/>
    </row>
    <row r="739" spans="5:7">
      <c r="E739" s="400"/>
      <c r="F739" s="400"/>
      <c r="G739" s="400"/>
    </row>
    <row r="740" spans="5:7">
      <c r="E740" s="400"/>
      <c r="F740" s="400"/>
      <c r="G740" s="400"/>
    </row>
    <row r="741" spans="5:7">
      <c r="E741" s="400"/>
      <c r="F741" s="400"/>
      <c r="G741" s="400"/>
    </row>
    <row r="742" spans="5:7">
      <c r="E742" s="400"/>
      <c r="F742" s="400"/>
      <c r="G742" s="400"/>
    </row>
    <row r="743" spans="5:7">
      <c r="E743" s="400"/>
      <c r="F743" s="400"/>
      <c r="G743" s="400"/>
    </row>
    <row r="744" spans="5:7">
      <c r="E744" s="400"/>
      <c r="F744" s="400"/>
      <c r="G744" s="400"/>
    </row>
    <row r="745" spans="5:7">
      <c r="E745" s="400"/>
      <c r="F745" s="400"/>
      <c r="G745" s="400"/>
    </row>
    <row r="746" spans="5:7">
      <c r="E746" s="400"/>
      <c r="F746" s="400"/>
      <c r="G746" s="400"/>
    </row>
    <row r="747" spans="5:7">
      <c r="E747" s="400"/>
      <c r="F747" s="400"/>
      <c r="G747" s="400"/>
    </row>
    <row r="748" spans="5:7">
      <c r="E748" s="400"/>
      <c r="F748" s="400"/>
      <c r="G748" s="400"/>
    </row>
    <row r="749" spans="5:7">
      <c r="E749" s="400"/>
      <c r="F749" s="400"/>
      <c r="G749" s="400"/>
    </row>
    <row r="750" spans="5:7">
      <c r="E750" s="400"/>
      <c r="F750" s="400"/>
      <c r="G750" s="400"/>
    </row>
    <row r="751" spans="5:7">
      <c r="E751" s="400"/>
      <c r="F751" s="400"/>
      <c r="G751" s="400"/>
    </row>
    <row r="752" spans="5:7">
      <c r="E752" s="400"/>
      <c r="F752" s="400"/>
      <c r="G752" s="400"/>
    </row>
    <row r="753" spans="5:7">
      <c r="E753" s="400"/>
      <c r="F753" s="400"/>
      <c r="G753" s="400"/>
    </row>
    <row r="754" spans="5:7">
      <c r="E754" s="400"/>
      <c r="F754" s="400"/>
      <c r="G754" s="400"/>
    </row>
    <row r="755" spans="5:7">
      <c r="E755" s="400"/>
      <c r="F755" s="400"/>
      <c r="G755" s="400"/>
    </row>
    <row r="756" spans="5:7">
      <c r="E756" s="400"/>
      <c r="F756" s="400"/>
      <c r="G756" s="400"/>
    </row>
    <row r="757" spans="5:7">
      <c r="E757" s="400"/>
      <c r="F757" s="400"/>
      <c r="G757" s="400"/>
    </row>
    <row r="758" spans="5:7">
      <c r="E758" s="400"/>
      <c r="F758" s="400"/>
      <c r="G758" s="400"/>
    </row>
    <row r="759" spans="5:7">
      <c r="E759" s="400"/>
      <c r="F759" s="400"/>
      <c r="G759" s="400"/>
    </row>
    <row r="760" spans="5:7">
      <c r="E760" s="400"/>
      <c r="F760" s="400"/>
      <c r="G760" s="400"/>
    </row>
    <row r="761" spans="5:7">
      <c r="E761" s="400"/>
      <c r="F761" s="400"/>
      <c r="G761" s="400"/>
    </row>
    <row r="762" spans="5:7">
      <c r="E762" s="400"/>
      <c r="F762" s="400"/>
      <c r="G762" s="400"/>
    </row>
    <row r="763" spans="5:7">
      <c r="E763" s="400"/>
      <c r="F763" s="400"/>
      <c r="G763" s="400"/>
    </row>
    <row r="764" spans="5:7">
      <c r="E764" s="400"/>
      <c r="F764" s="400"/>
      <c r="G764" s="400"/>
    </row>
    <row r="765" spans="5:7">
      <c r="E765" s="400"/>
      <c r="F765" s="400"/>
      <c r="G765" s="400"/>
    </row>
    <row r="766" spans="5:7">
      <c r="E766" s="400"/>
      <c r="F766" s="400"/>
      <c r="G766" s="400"/>
    </row>
    <row r="767" spans="5:7">
      <c r="E767" s="400"/>
      <c r="F767" s="400"/>
      <c r="G767" s="400"/>
    </row>
    <row r="768" spans="5:7">
      <c r="E768" s="400"/>
      <c r="F768" s="400"/>
      <c r="G768" s="400"/>
    </row>
    <row r="769" spans="5:7">
      <c r="E769" s="400"/>
      <c r="F769" s="400"/>
      <c r="G769" s="400"/>
    </row>
    <row r="770" spans="5:7">
      <c r="E770" s="400"/>
      <c r="F770" s="400"/>
      <c r="G770" s="400"/>
    </row>
    <row r="771" spans="5:7">
      <c r="E771" s="400"/>
      <c r="F771" s="400"/>
      <c r="G771" s="400"/>
    </row>
    <row r="772" spans="5:7">
      <c r="E772" s="400"/>
      <c r="F772" s="400"/>
      <c r="G772" s="400"/>
    </row>
    <row r="773" spans="5:7">
      <c r="E773" s="400"/>
      <c r="F773" s="400"/>
      <c r="G773" s="400"/>
    </row>
    <row r="774" spans="5:7">
      <c r="E774" s="400"/>
      <c r="F774" s="400"/>
      <c r="G774" s="400"/>
    </row>
    <row r="775" spans="5:7">
      <c r="E775" s="400"/>
      <c r="F775" s="400"/>
      <c r="G775" s="400"/>
    </row>
    <row r="776" spans="5:7">
      <c r="E776" s="400"/>
      <c r="F776" s="400"/>
      <c r="G776" s="400"/>
    </row>
    <row r="777" spans="5:7">
      <c r="E777" s="400"/>
      <c r="F777" s="400"/>
      <c r="G777" s="400"/>
    </row>
    <row r="778" spans="5:7">
      <c r="E778" s="400"/>
      <c r="F778" s="400"/>
      <c r="G778" s="400"/>
    </row>
    <row r="779" spans="5:7">
      <c r="E779" s="400"/>
      <c r="F779" s="400"/>
      <c r="G779" s="400"/>
    </row>
    <row r="780" spans="5:7">
      <c r="E780" s="400"/>
      <c r="F780" s="400"/>
      <c r="G780" s="400"/>
    </row>
    <row r="781" spans="5:7">
      <c r="E781" s="400"/>
      <c r="F781" s="400"/>
      <c r="G781" s="400"/>
    </row>
    <row r="782" spans="5:7">
      <c r="E782" s="400"/>
      <c r="F782" s="400"/>
      <c r="G782" s="400"/>
    </row>
    <row r="783" spans="5:7">
      <c r="E783" s="400"/>
      <c r="F783" s="400"/>
      <c r="G783" s="400"/>
    </row>
    <row r="784" spans="5:7">
      <c r="E784" s="400"/>
      <c r="F784" s="400"/>
      <c r="G784" s="400"/>
    </row>
    <row r="785" spans="5:7">
      <c r="E785" s="400"/>
      <c r="F785" s="400"/>
      <c r="G785" s="400"/>
    </row>
    <row r="786" spans="5:7">
      <c r="E786" s="400"/>
      <c r="F786" s="400"/>
      <c r="G786" s="400"/>
    </row>
    <row r="787" spans="5:7">
      <c r="E787" s="400"/>
      <c r="F787" s="400"/>
      <c r="G787" s="400"/>
    </row>
    <row r="788" spans="5:7">
      <c r="E788" s="400"/>
      <c r="F788" s="400"/>
      <c r="G788" s="400"/>
    </row>
    <row r="789" spans="5:7">
      <c r="E789" s="400"/>
      <c r="F789" s="400"/>
      <c r="G789" s="400"/>
    </row>
    <row r="790" spans="5:7">
      <c r="E790" s="400"/>
      <c r="F790" s="400"/>
      <c r="G790" s="400"/>
    </row>
    <row r="791" spans="5:7">
      <c r="E791" s="400"/>
      <c r="F791" s="400"/>
      <c r="G791" s="400"/>
    </row>
    <row r="792" spans="5:7">
      <c r="E792" s="400"/>
      <c r="F792" s="400"/>
      <c r="G792" s="400"/>
    </row>
    <row r="793" spans="5:7">
      <c r="E793" s="400"/>
      <c r="F793" s="400"/>
      <c r="G793" s="400"/>
    </row>
    <row r="794" spans="5:7">
      <c r="E794" s="400"/>
      <c r="F794" s="400"/>
      <c r="G794" s="400"/>
    </row>
    <row r="795" spans="5:7">
      <c r="E795" s="400"/>
      <c r="F795" s="400"/>
      <c r="G795" s="400"/>
    </row>
    <row r="796" spans="5:7">
      <c r="E796" s="400"/>
      <c r="F796" s="400"/>
      <c r="G796" s="400"/>
    </row>
    <row r="797" spans="5:7">
      <c r="E797" s="400"/>
      <c r="F797" s="400"/>
      <c r="G797" s="400"/>
    </row>
    <row r="798" spans="5:7">
      <c r="E798" s="400"/>
      <c r="F798" s="400"/>
      <c r="G798" s="400"/>
    </row>
    <row r="799" spans="5:7">
      <c r="E799" s="400"/>
      <c r="F799" s="400"/>
      <c r="G799" s="400"/>
    </row>
    <row r="800" spans="5:7">
      <c r="E800" s="400"/>
      <c r="F800" s="400"/>
      <c r="G800" s="400"/>
    </row>
    <row r="801" spans="5:7">
      <c r="E801" s="400"/>
      <c r="F801" s="400"/>
      <c r="G801" s="400"/>
    </row>
    <row r="802" spans="5:7">
      <c r="E802" s="400"/>
      <c r="F802" s="400"/>
      <c r="G802" s="400"/>
    </row>
    <row r="803" spans="5:7">
      <c r="E803" s="400"/>
      <c r="F803" s="400"/>
      <c r="G803" s="400"/>
    </row>
    <row r="804" spans="5:7">
      <c r="E804" s="400"/>
      <c r="F804" s="400"/>
      <c r="G804" s="400"/>
    </row>
    <row r="805" spans="5:7">
      <c r="E805" s="400"/>
      <c r="F805" s="400"/>
      <c r="G805" s="400"/>
    </row>
    <row r="806" spans="5:7">
      <c r="E806" s="400"/>
      <c r="F806" s="400"/>
      <c r="G806" s="400"/>
    </row>
    <row r="807" spans="5:7">
      <c r="E807" s="400"/>
      <c r="F807" s="400"/>
      <c r="G807" s="400"/>
    </row>
    <row r="808" spans="5:7">
      <c r="E808" s="400"/>
      <c r="F808" s="400"/>
      <c r="G808" s="400"/>
    </row>
    <row r="809" spans="5:7">
      <c r="E809" s="400"/>
      <c r="F809" s="400"/>
      <c r="G809" s="400"/>
    </row>
    <row r="810" spans="5:7">
      <c r="E810" s="400"/>
      <c r="F810" s="400"/>
      <c r="G810" s="400"/>
    </row>
    <row r="811" spans="5:7">
      <c r="E811" s="400"/>
      <c r="F811" s="400"/>
      <c r="G811" s="400"/>
    </row>
    <row r="812" spans="5:7">
      <c r="E812" s="400"/>
      <c r="F812" s="400"/>
      <c r="G812" s="400"/>
    </row>
    <row r="813" spans="5:7">
      <c r="E813" s="400"/>
      <c r="F813" s="400"/>
      <c r="G813" s="400"/>
    </row>
    <row r="814" spans="5:7">
      <c r="E814" s="400"/>
      <c r="F814" s="400"/>
      <c r="G814" s="400"/>
    </row>
    <row r="815" spans="5:7">
      <c r="E815" s="400"/>
      <c r="F815" s="400"/>
      <c r="G815" s="400"/>
    </row>
    <row r="816" spans="5:7">
      <c r="E816" s="400"/>
      <c r="F816" s="400"/>
      <c r="G816" s="400"/>
    </row>
    <row r="817" spans="5:7">
      <c r="E817" s="400"/>
      <c r="F817" s="400"/>
      <c r="G817" s="400"/>
    </row>
    <row r="818" spans="5:7">
      <c r="E818" s="400"/>
      <c r="F818" s="400"/>
      <c r="G818" s="400"/>
    </row>
    <row r="819" spans="5:7">
      <c r="E819" s="400"/>
      <c r="F819" s="400"/>
      <c r="G819" s="400"/>
    </row>
    <row r="820" spans="5:7">
      <c r="E820" s="400"/>
      <c r="F820" s="400"/>
      <c r="G820" s="400"/>
    </row>
    <row r="821" spans="5:7">
      <c r="E821" s="400"/>
      <c r="F821" s="400"/>
      <c r="G821" s="400"/>
    </row>
    <row r="822" spans="5:7">
      <c r="E822" s="400"/>
      <c r="F822" s="400"/>
      <c r="G822" s="400"/>
    </row>
    <row r="823" spans="5:7">
      <c r="E823" s="400"/>
      <c r="F823" s="400"/>
      <c r="G823" s="400"/>
    </row>
    <row r="824" spans="5:7">
      <c r="E824" s="400"/>
      <c r="F824" s="400"/>
      <c r="G824" s="400"/>
    </row>
    <row r="825" spans="5:7">
      <c r="E825" s="400"/>
      <c r="F825" s="400"/>
      <c r="G825" s="400"/>
    </row>
    <row r="826" spans="5:7">
      <c r="E826" s="400"/>
      <c r="F826" s="400"/>
      <c r="G826" s="400"/>
    </row>
    <row r="827" spans="5:7">
      <c r="E827" s="400"/>
      <c r="F827" s="400"/>
      <c r="G827" s="400"/>
    </row>
    <row r="828" spans="5:7">
      <c r="E828" s="400"/>
      <c r="F828" s="400"/>
      <c r="G828" s="400"/>
    </row>
    <row r="829" spans="5:7">
      <c r="E829" s="400"/>
      <c r="F829" s="400"/>
      <c r="G829" s="400"/>
    </row>
    <row r="830" spans="5:7">
      <c r="E830" s="400"/>
      <c r="F830" s="400"/>
      <c r="G830" s="400"/>
    </row>
    <row r="831" spans="5:7">
      <c r="E831" s="400"/>
      <c r="F831" s="400"/>
      <c r="G831" s="400"/>
    </row>
    <row r="832" spans="5:7">
      <c r="E832" s="400"/>
      <c r="F832" s="400"/>
      <c r="G832" s="400"/>
    </row>
    <row r="833" spans="5:7">
      <c r="E833" s="400"/>
      <c r="F833" s="400"/>
      <c r="G833" s="400"/>
    </row>
    <row r="834" spans="5:7">
      <c r="E834" s="400"/>
      <c r="F834" s="400"/>
      <c r="G834" s="400"/>
    </row>
    <row r="835" spans="5:7">
      <c r="E835" s="400"/>
      <c r="F835" s="400"/>
      <c r="G835" s="400"/>
    </row>
    <row r="836" spans="5:7">
      <c r="E836" s="400"/>
      <c r="F836" s="400"/>
      <c r="G836" s="400"/>
    </row>
    <row r="837" spans="5:7">
      <c r="E837" s="400"/>
      <c r="F837" s="400"/>
      <c r="G837" s="400"/>
    </row>
    <row r="838" spans="5:7">
      <c r="E838" s="400"/>
      <c r="F838" s="400"/>
      <c r="G838" s="400"/>
    </row>
    <row r="839" spans="5:7">
      <c r="E839" s="400"/>
      <c r="F839" s="400"/>
      <c r="G839" s="400"/>
    </row>
    <row r="840" spans="5:7">
      <c r="E840" s="400"/>
      <c r="F840" s="400"/>
      <c r="G840" s="400"/>
    </row>
    <row r="841" spans="5:7">
      <c r="E841" s="400"/>
      <c r="F841" s="400"/>
      <c r="G841" s="400"/>
    </row>
    <row r="842" spans="5:7">
      <c r="E842" s="400"/>
      <c r="F842" s="400"/>
      <c r="G842" s="400"/>
    </row>
    <row r="843" spans="5:7">
      <c r="E843" s="400"/>
      <c r="F843" s="400"/>
      <c r="G843" s="400"/>
    </row>
    <row r="844" spans="5:7">
      <c r="E844" s="400"/>
      <c r="F844" s="400"/>
      <c r="G844" s="400"/>
    </row>
    <row r="845" spans="5:7">
      <c r="E845" s="400"/>
      <c r="F845" s="400"/>
      <c r="G845" s="400"/>
    </row>
    <row r="846" spans="5:7">
      <c r="E846" s="400"/>
      <c r="F846" s="400"/>
      <c r="G846" s="400"/>
    </row>
    <row r="847" spans="5:7">
      <c r="E847" s="400"/>
      <c r="F847" s="400"/>
      <c r="G847" s="400"/>
    </row>
    <row r="848" spans="5:7">
      <c r="E848" s="400"/>
      <c r="F848" s="400"/>
      <c r="G848" s="400"/>
    </row>
    <row r="849" spans="5:7">
      <c r="E849" s="400"/>
      <c r="F849" s="400"/>
      <c r="G849" s="400"/>
    </row>
    <row r="850" spans="5:7">
      <c r="E850" s="400"/>
      <c r="F850" s="400"/>
      <c r="G850" s="400"/>
    </row>
    <row r="851" spans="5:7">
      <c r="E851" s="400"/>
      <c r="F851" s="400"/>
      <c r="G851" s="400"/>
    </row>
    <row r="852" spans="5:7">
      <c r="E852" s="400"/>
      <c r="F852" s="400"/>
      <c r="G852" s="400"/>
    </row>
    <row r="853" spans="5:7">
      <c r="E853" s="400"/>
      <c r="F853" s="400"/>
      <c r="G853" s="400"/>
    </row>
    <row r="854" spans="5:7">
      <c r="E854" s="400"/>
      <c r="F854" s="400"/>
      <c r="G854" s="400"/>
    </row>
    <row r="855" spans="5:7">
      <c r="E855" s="400"/>
      <c r="F855" s="400"/>
      <c r="G855" s="400"/>
    </row>
    <row r="856" spans="5:7">
      <c r="E856" s="400"/>
      <c r="F856" s="400"/>
      <c r="G856" s="400"/>
    </row>
    <row r="857" spans="5:7">
      <c r="E857" s="400"/>
      <c r="F857" s="400"/>
      <c r="G857" s="400"/>
    </row>
    <row r="858" spans="5:7">
      <c r="E858" s="400"/>
      <c r="F858" s="400"/>
      <c r="G858" s="400"/>
    </row>
    <row r="859" spans="5:7">
      <c r="E859" s="400"/>
      <c r="F859" s="400"/>
      <c r="G859" s="400"/>
    </row>
    <row r="860" spans="5:7">
      <c r="E860" s="400"/>
      <c r="F860" s="400"/>
      <c r="G860" s="400"/>
    </row>
    <row r="861" spans="5:7">
      <c r="E861" s="400"/>
      <c r="F861" s="400"/>
      <c r="G861" s="400"/>
    </row>
    <row r="862" spans="5:7">
      <c r="E862" s="400"/>
      <c r="F862" s="400"/>
      <c r="G862" s="400"/>
    </row>
    <row r="863" spans="5:7">
      <c r="E863" s="400"/>
      <c r="F863" s="400"/>
      <c r="G863" s="400"/>
    </row>
    <row r="864" spans="5:7">
      <c r="E864" s="400"/>
      <c r="F864" s="400"/>
      <c r="G864" s="400"/>
    </row>
    <row r="865" spans="5:7">
      <c r="E865" s="400"/>
      <c r="F865" s="400"/>
      <c r="G865" s="400"/>
    </row>
    <row r="866" spans="5:7">
      <c r="E866" s="400"/>
      <c r="F866" s="400"/>
      <c r="G866" s="400"/>
    </row>
    <row r="867" spans="5:7">
      <c r="E867" s="400"/>
      <c r="F867" s="400"/>
      <c r="G867" s="400"/>
    </row>
    <row r="868" spans="5:7">
      <c r="E868" s="400"/>
      <c r="F868" s="400"/>
      <c r="G868" s="400"/>
    </row>
    <row r="869" spans="5:7">
      <c r="E869" s="400"/>
      <c r="F869" s="400"/>
      <c r="G869" s="400"/>
    </row>
    <row r="870" spans="5:7">
      <c r="E870" s="400"/>
      <c r="F870" s="400"/>
      <c r="G870" s="400"/>
    </row>
    <row r="871" spans="5:7">
      <c r="E871" s="400"/>
      <c r="F871" s="400"/>
      <c r="G871" s="400"/>
    </row>
    <row r="872" spans="5:7">
      <c r="E872" s="400"/>
      <c r="F872" s="400"/>
      <c r="G872" s="400"/>
    </row>
    <row r="873" spans="5:7">
      <c r="E873" s="400"/>
      <c r="F873" s="400"/>
      <c r="G873" s="400"/>
    </row>
    <row r="874" spans="5:7">
      <c r="E874" s="400"/>
      <c r="F874" s="400"/>
      <c r="G874" s="400"/>
    </row>
    <row r="875" spans="5:7">
      <c r="E875" s="400"/>
      <c r="F875" s="400"/>
      <c r="G875" s="400"/>
    </row>
    <row r="876" spans="5:7">
      <c r="E876" s="400"/>
      <c r="F876" s="400"/>
      <c r="G876" s="400"/>
    </row>
    <row r="877" spans="5:7">
      <c r="E877" s="400"/>
      <c r="F877" s="400"/>
      <c r="G877" s="400"/>
    </row>
    <row r="878" spans="5:7">
      <c r="E878" s="400"/>
      <c r="F878" s="400"/>
      <c r="G878" s="400"/>
    </row>
    <row r="879" spans="5:7">
      <c r="E879" s="400"/>
      <c r="F879" s="400"/>
      <c r="G879" s="400"/>
    </row>
    <row r="880" spans="5:7">
      <c r="E880" s="400"/>
      <c r="F880" s="400"/>
      <c r="G880" s="400"/>
    </row>
    <row r="881" spans="5:7">
      <c r="E881" s="400"/>
      <c r="F881" s="400"/>
      <c r="G881" s="400"/>
    </row>
    <row r="882" spans="5:7">
      <c r="E882" s="400"/>
      <c r="F882" s="400"/>
      <c r="G882" s="400"/>
    </row>
    <row r="883" spans="5:7">
      <c r="E883" s="400"/>
      <c r="F883" s="400"/>
      <c r="G883" s="400"/>
    </row>
    <row r="884" spans="5:7">
      <c r="E884" s="400"/>
      <c r="F884" s="400"/>
      <c r="G884" s="400"/>
    </row>
    <row r="885" spans="5:7">
      <c r="E885" s="400"/>
      <c r="F885" s="400"/>
      <c r="G885" s="400"/>
    </row>
    <row r="886" spans="5:7">
      <c r="E886" s="400"/>
      <c r="F886" s="400"/>
      <c r="G886" s="400"/>
    </row>
    <row r="887" spans="5:7">
      <c r="E887" s="400"/>
      <c r="F887" s="400"/>
      <c r="G887" s="400"/>
    </row>
    <row r="888" spans="5:7">
      <c r="E888" s="400"/>
      <c r="F888" s="400"/>
      <c r="G888" s="400"/>
    </row>
    <row r="889" spans="5:7">
      <c r="E889" s="400"/>
      <c r="F889" s="400"/>
      <c r="G889" s="400"/>
    </row>
    <row r="890" spans="5:7">
      <c r="E890" s="400"/>
      <c r="F890" s="400"/>
      <c r="G890" s="400"/>
    </row>
    <row r="891" spans="5:7">
      <c r="E891" s="400"/>
      <c r="F891" s="400"/>
      <c r="G891" s="400"/>
    </row>
    <row r="892" spans="5:7">
      <c r="E892" s="400"/>
      <c r="F892" s="400"/>
      <c r="G892" s="400"/>
    </row>
    <row r="893" spans="5:7">
      <c r="E893" s="400"/>
      <c r="F893" s="400"/>
      <c r="G893" s="400"/>
    </row>
    <row r="894" spans="5:7">
      <c r="E894" s="400"/>
      <c r="F894" s="400"/>
      <c r="G894" s="400"/>
    </row>
    <row r="895" spans="5:7">
      <c r="E895" s="400"/>
      <c r="F895" s="400"/>
      <c r="G895" s="400"/>
    </row>
    <row r="896" spans="5:7">
      <c r="E896" s="400"/>
      <c r="F896" s="400"/>
      <c r="G896" s="400"/>
    </row>
    <row r="897" spans="5:7">
      <c r="E897" s="400"/>
      <c r="F897" s="400"/>
      <c r="G897" s="400"/>
    </row>
    <row r="898" spans="5:7">
      <c r="E898" s="400"/>
      <c r="F898" s="400"/>
      <c r="G898" s="400"/>
    </row>
    <row r="899" spans="5:7">
      <c r="E899" s="400"/>
      <c r="F899" s="400"/>
      <c r="G899" s="400"/>
    </row>
    <row r="900" spans="5:7">
      <c r="E900" s="400"/>
      <c r="F900" s="400"/>
      <c r="G900" s="400"/>
    </row>
    <row r="901" spans="5:7">
      <c r="E901" s="400"/>
      <c r="F901" s="400"/>
      <c r="G901" s="400"/>
    </row>
    <row r="902" spans="5:7">
      <c r="E902" s="400"/>
      <c r="F902" s="400"/>
      <c r="G902" s="400"/>
    </row>
    <row r="903" spans="5:7">
      <c r="E903" s="400"/>
      <c r="F903" s="400"/>
      <c r="G903" s="400"/>
    </row>
    <row r="904" spans="5:7">
      <c r="E904" s="400"/>
      <c r="F904" s="400"/>
      <c r="G904" s="400"/>
    </row>
    <row r="905" spans="5:7">
      <c r="E905" s="400"/>
      <c r="F905" s="400"/>
      <c r="G905" s="400"/>
    </row>
    <row r="906" spans="5:7">
      <c r="E906" s="400"/>
      <c r="F906" s="400"/>
      <c r="G906" s="400"/>
    </row>
    <row r="907" spans="5:7">
      <c r="E907" s="400"/>
      <c r="F907" s="400"/>
      <c r="G907" s="400"/>
    </row>
    <row r="908" spans="5:7">
      <c r="E908" s="400"/>
      <c r="F908" s="400"/>
      <c r="G908" s="400"/>
    </row>
    <row r="909" spans="5:7">
      <c r="E909" s="400"/>
      <c r="F909" s="400"/>
      <c r="G909" s="400"/>
    </row>
    <row r="910" spans="5:7">
      <c r="E910" s="400"/>
      <c r="F910" s="400"/>
      <c r="G910" s="400"/>
    </row>
    <row r="911" spans="5:7">
      <c r="E911" s="400"/>
      <c r="F911" s="400"/>
      <c r="G911" s="400"/>
    </row>
    <row r="912" spans="5:7">
      <c r="E912" s="400"/>
      <c r="F912" s="400"/>
      <c r="G912" s="400"/>
    </row>
    <row r="913" spans="5:7">
      <c r="E913" s="400"/>
      <c r="F913" s="400"/>
      <c r="G913" s="400"/>
    </row>
    <row r="914" spans="5:7">
      <c r="E914" s="400"/>
      <c r="F914" s="400"/>
      <c r="G914" s="400"/>
    </row>
    <row r="915" spans="5:7">
      <c r="E915" s="400"/>
      <c r="F915" s="400"/>
      <c r="G915" s="400"/>
    </row>
    <row r="916" spans="5:7">
      <c r="E916" s="400"/>
      <c r="F916" s="400"/>
      <c r="G916" s="400"/>
    </row>
    <row r="917" spans="5:7">
      <c r="E917" s="400"/>
      <c r="F917" s="400"/>
      <c r="G917" s="400"/>
    </row>
    <row r="918" spans="5:7">
      <c r="E918" s="400"/>
      <c r="F918" s="400"/>
      <c r="G918" s="400"/>
    </row>
    <row r="919" spans="5:7">
      <c r="E919" s="400"/>
      <c r="F919" s="400"/>
      <c r="G919" s="400"/>
    </row>
    <row r="920" spans="5:7">
      <c r="E920" s="400"/>
      <c r="F920" s="400"/>
      <c r="G920" s="400"/>
    </row>
    <row r="921" spans="5:7">
      <c r="E921" s="400"/>
      <c r="F921" s="400"/>
      <c r="G921" s="400"/>
    </row>
    <row r="922" spans="5:7">
      <c r="E922" s="400"/>
      <c r="F922" s="400"/>
      <c r="G922" s="400"/>
    </row>
    <row r="923" spans="5:7">
      <c r="E923" s="400"/>
      <c r="F923" s="400"/>
      <c r="G923" s="400"/>
    </row>
    <row r="924" spans="5:7">
      <c r="E924" s="400"/>
      <c r="F924" s="400"/>
      <c r="G924" s="400"/>
    </row>
    <row r="925" spans="5:7">
      <c r="E925" s="400"/>
      <c r="F925" s="400"/>
      <c r="G925" s="400"/>
    </row>
    <row r="926" spans="5:7">
      <c r="E926" s="400"/>
      <c r="F926" s="400"/>
      <c r="G926" s="400"/>
    </row>
    <row r="927" spans="5:7">
      <c r="E927" s="400"/>
      <c r="F927" s="400"/>
      <c r="G927" s="400"/>
    </row>
    <row r="928" spans="5:7">
      <c r="E928" s="400"/>
      <c r="F928" s="400"/>
      <c r="G928" s="400"/>
    </row>
    <row r="929" spans="5:7">
      <c r="E929" s="400"/>
      <c r="F929" s="400"/>
      <c r="G929" s="400"/>
    </row>
    <row r="930" spans="5:7">
      <c r="E930" s="400"/>
      <c r="F930" s="400"/>
      <c r="G930" s="400"/>
    </row>
    <row r="931" spans="5:7">
      <c r="E931" s="400"/>
      <c r="F931" s="400"/>
      <c r="G931" s="400"/>
    </row>
    <row r="932" spans="5:7">
      <c r="E932" s="400"/>
      <c r="F932" s="400"/>
      <c r="G932" s="400"/>
    </row>
    <row r="933" spans="5:7">
      <c r="E933" s="400"/>
      <c r="F933" s="400"/>
      <c r="G933" s="400"/>
    </row>
    <row r="934" spans="5:7">
      <c r="E934" s="400"/>
      <c r="F934" s="400"/>
      <c r="G934" s="400"/>
    </row>
    <row r="935" spans="5:7">
      <c r="E935" s="400"/>
      <c r="F935" s="400"/>
      <c r="G935" s="400"/>
    </row>
    <row r="936" spans="5:7">
      <c r="E936" s="400"/>
      <c r="F936" s="400"/>
      <c r="G936" s="400"/>
    </row>
    <row r="937" spans="5:7">
      <c r="E937" s="400"/>
      <c r="F937" s="400"/>
      <c r="G937" s="400"/>
    </row>
    <row r="938" spans="5:7">
      <c r="E938" s="400"/>
      <c r="F938" s="400"/>
      <c r="G938" s="400"/>
    </row>
    <row r="939" spans="5:7">
      <c r="E939" s="400"/>
      <c r="F939" s="400"/>
      <c r="G939" s="400"/>
    </row>
    <row r="940" spans="5:7">
      <c r="E940" s="400"/>
      <c r="F940" s="400"/>
      <c r="G940" s="400"/>
    </row>
    <row r="941" spans="5:7">
      <c r="E941" s="400"/>
      <c r="F941" s="400"/>
      <c r="G941" s="400"/>
    </row>
    <row r="942" spans="5:7">
      <c r="E942" s="400"/>
      <c r="F942" s="400"/>
      <c r="G942" s="400"/>
    </row>
    <row r="943" spans="5:7">
      <c r="E943" s="400"/>
      <c r="F943" s="400"/>
      <c r="G943" s="400"/>
    </row>
    <row r="944" spans="5:7">
      <c r="E944" s="400"/>
      <c r="F944" s="400"/>
      <c r="G944" s="400"/>
    </row>
    <row r="945" spans="5:7">
      <c r="E945" s="400"/>
      <c r="F945" s="400"/>
      <c r="G945" s="400"/>
    </row>
    <row r="946" spans="5:7">
      <c r="E946" s="400"/>
      <c r="F946" s="400"/>
      <c r="G946" s="400"/>
    </row>
    <row r="947" spans="5:7">
      <c r="E947" s="400"/>
      <c r="F947" s="400"/>
      <c r="G947" s="400"/>
    </row>
    <row r="948" spans="5:7">
      <c r="E948" s="400"/>
      <c r="F948" s="400"/>
      <c r="G948" s="400"/>
    </row>
    <row r="949" spans="5:7">
      <c r="E949" s="400"/>
      <c r="F949" s="400"/>
      <c r="G949" s="400"/>
    </row>
    <row r="950" spans="5:7">
      <c r="E950" s="400"/>
      <c r="F950" s="400"/>
      <c r="G950" s="400"/>
    </row>
    <row r="951" spans="5:7">
      <c r="E951" s="400"/>
      <c r="F951" s="400"/>
      <c r="G951" s="400"/>
    </row>
    <row r="952" spans="5:7">
      <c r="E952" s="400"/>
      <c r="F952" s="400"/>
      <c r="G952" s="400"/>
    </row>
    <row r="953" spans="5:7">
      <c r="E953" s="400"/>
      <c r="F953" s="400"/>
      <c r="G953" s="400"/>
    </row>
    <row r="954" spans="5:7">
      <c r="E954" s="400"/>
      <c r="F954" s="400"/>
      <c r="G954" s="400"/>
    </row>
    <row r="955" spans="5:7">
      <c r="E955" s="400"/>
      <c r="F955" s="400"/>
      <c r="G955" s="400"/>
    </row>
    <row r="956" spans="5:7">
      <c r="E956" s="400"/>
      <c r="F956" s="400"/>
      <c r="G956" s="400"/>
    </row>
    <row r="957" spans="5:7">
      <c r="E957" s="400"/>
      <c r="F957" s="400"/>
      <c r="G957" s="400"/>
    </row>
    <row r="958" spans="5:7">
      <c r="E958" s="400"/>
      <c r="F958" s="400"/>
      <c r="G958" s="400"/>
    </row>
    <row r="959" spans="5:7">
      <c r="E959" s="400"/>
      <c r="F959" s="400"/>
      <c r="G959" s="400"/>
    </row>
    <row r="960" spans="5:7">
      <c r="E960" s="400"/>
      <c r="F960" s="400"/>
      <c r="G960" s="400"/>
    </row>
    <row r="961" spans="5:7">
      <c r="E961" s="400"/>
      <c r="F961" s="400"/>
      <c r="G961" s="400"/>
    </row>
    <row r="962" spans="5:7">
      <c r="E962" s="400"/>
      <c r="F962" s="400"/>
      <c r="G962" s="400"/>
    </row>
    <row r="963" spans="5:7">
      <c r="E963" s="400"/>
      <c r="F963" s="400"/>
      <c r="G963" s="400"/>
    </row>
    <row r="964" spans="5:7">
      <c r="E964" s="400"/>
      <c r="F964" s="400"/>
      <c r="G964" s="400"/>
    </row>
    <row r="965" spans="5:7">
      <c r="E965" s="400"/>
      <c r="F965" s="400"/>
      <c r="G965" s="400"/>
    </row>
    <row r="966" spans="5:7">
      <c r="E966" s="400"/>
      <c r="F966" s="400"/>
      <c r="G966" s="400"/>
    </row>
    <row r="967" spans="5:7">
      <c r="E967" s="400"/>
      <c r="F967" s="400"/>
      <c r="G967" s="400"/>
    </row>
    <row r="968" spans="5:7">
      <c r="E968" s="400"/>
      <c r="F968" s="400"/>
      <c r="G968" s="400"/>
    </row>
    <row r="969" spans="5:7">
      <c r="E969" s="400"/>
      <c r="F969" s="400"/>
      <c r="G969" s="400"/>
    </row>
    <row r="970" spans="5:7">
      <c r="E970" s="400"/>
      <c r="F970" s="400"/>
      <c r="G970" s="400"/>
    </row>
    <row r="971" spans="5:7">
      <c r="E971" s="400"/>
      <c r="F971" s="400"/>
      <c r="G971" s="400"/>
    </row>
    <row r="972" spans="5:7">
      <c r="E972" s="400"/>
      <c r="F972" s="400"/>
      <c r="G972" s="400"/>
    </row>
    <row r="973" spans="5:7">
      <c r="E973" s="400"/>
      <c r="F973" s="400"/>
      <c r="G973" s="400"/>
    </row>
    <row r="974" spans="5:7">
      <c r="E974" s="400"/>
      <c r="F974" s="400"/>
      <c r="G974" s="400"/>
    </row>
    <row r="975" spans="5:7">
      <c r="E975" s="400"/>
      <c r="F975" s="400"/>
      <c r="G975" s="400"/>
    </row>
    <row r="976" spans="5:7">
      <c r="E976" s="400"/>
      <c r="F976" s="400"/>
      <c r="G976" s="400"/>
    </row>
    <row r="977" spans="5:7">
      <c r="E977" s="400"/>
      <c r="F977" s="400"/>
      <c r="G977" s="400"/>
    </row>
    <row r="978" spans="5:7">
      <c r="E978" s="400"/>
      <c r="F978" s="400"/>
      <c r="G978" s="400"/>
    </row>
    <row r="979" spans="5:7">
      <c r="E979" s="400"/>
      <c r="F979" s="400"/>
      <c r="G979" s="400"/>
    </row>
    <row r="980" spans="5:7">
      <c r="E980" s="400"/>
      <c r="F980" s="400"/>
      <c r="G980" s="400"/>
    </row>
    <row r="981" spans="5:7">
      <c r="E981" s="400"/>
      <c r="F981" s="400"/>
      <c r="G981" s="400"/>
    </row>
    <row r="982" spans="5:7">
      <c r="E982" s="400"/>
      <c r="F982" s="400"/>
      <c r="G982" s="400"/>
    </row>
    <row r="983" spans="5:7">
      <c r="E983" s="400"/>
      <c r="F983" s="400"/>
      <c r="G983" s="400"/>
    </row>
    <row r="984" spans="5:7">
      <c r="E984" s="400"/>
      <c r="F984" s="400"/>
      <c r="G984" s="400"/>
    </row>
    <row r="985" spans="5:7">
      <c r="E985" s="400"/>
      <c r="F985" s="400"/>
      <c r="G985" s="400"/>
    </row>
    <row r="986" spans="5:7">
      <c r="E986" s="400"/>
      <c r="F986" s="400"/>
      <c r="G986" s="400"/>
    </row>
    <row r="987" spans="5:7">
      <c r="E987" s="400"/>
      <c r="F987" s="400"/>
      <c r="G987" s="400"/>
    </row>
    <row r="988" spans="5:7">
      <c r="E988" s="400"/>
      <c r="F988" s="400"/>
      <c r="G988" s="400"/>
    </row>
    <row r="989" spans="5:7">
      <c r="E989" s="400"/>
      <c r="F989" s="400"/>
      <c r="G989" s="400"/>
    </row>
    <row r="990" spans="5:7">
      <c r="E990" s="400"/>
      <c r="F990" s="400"/>
      <c r="G990" s="400"/>
    </row>
    <row r="991" spans="5:7">
      <c r="E991" s="400"/>
      <c r="F991" s="400"/>
      <c r="G991" s="400"/>
    </row>
    <row r="992" spans="5:7">
      <c r="E992" s="400"/>
      <c r="F992" s="400"/>
      <c r="G992" s="400"/>
    </row>
    <row r="993" spans="5:7">
      <c r="E993" s="400"/>
      <c r="F993" s="400"/>
      <c r="G993" s="400"/>
    </row>
    <row r="994" spans="5:7">
      <c r="E994" s="400"/>
      <c r="F994" s="400"/>
      <c r="G994" s="400"/>
    </row>
    <row r="995" spans="5:7">
      <c r="E995" s="400"/>
      <c r="F995" s="400"/>
      <c r="G995" s="400"/>
    </row>
    <row r="996" spans="5:7">
      <c r="E996" s="400"/>
      <c r="F996" s="400"/>
      <c r="G996" s="400"/>
    </row>
    <row r="997" spans="5:7">
      <c r="E997" s="400"/>
      <c r="F997" s="400"/>
      <c r="G997" s="400"/>
    </row>
    <row r="998" spans="5:7">
      <c r="E998" s="400"/>
      <c r="F998" s="400"/>
      <c r="G998" s="400"/>
    </row>
    <row r="999" spans="5:7">
      <c r="E999" s="400"/>
      <c r="F999" s="400"/>
      <c r="G999" s="400"/>
    </row>
    <row r="1000" spans="5:7">
      <c r="E1000" s="400"/>
      <c r="F1000" s="400"/>
      <c r="G1000" s="400"/>
    </row>
    <row r="1001" spans="5:7">
      <c r="E1001" s="400"/>
      <c r="F1001" s="400"/>
      <c r="G1001" s="400"/>
    </row>
    <row r="1002" spans="5:7">
      <c r="E1002" s="400"/>
      <c r="F1002" s="400"/>
      <c r="G1002" s="400"/>
    </row>
    <row r="1003" spans="5:7">
      <c r="E1003" s="400"/>
      <c r="F1003" s="400"/>
      <c r="G1003" s="400"/>
    </row>
    <row r="1004" spans="5:7">
      <c r="E1004" s="400"/>
      <c r="F1004" s="400"/>
      <c r="G1004" s="400"/>
    </row>
    <row r="1005" spans="5:7">
      <c r="E1005" s="400"/>
      <c r="F1005" s="400"/>
      <c r="G1005" s="400"/>
    </row>
    <row r="1006" spans="5:7">
      <c r="E1006" s="400"/>
      <c r="F1006" s="400"/>
      <c r="G1006" s="400"/>
    </row>
    <row r="1007" spans="5:7">
      <c r="E1007" s="400"/>
      <c r="F1007" s="400"/>
      <c r="G1007" s="400"/>
    </row>
    <row r="1008" spans="5:7">
      <c r="E1008" s="400"/>
      <c r="F1008" s="400"/>
      <c r="G1008" s="400"/>
    </row>
    <row r="1009" spans="5:7">
      <c r="E1009" s="400"/>
      <c r="F1009" s="400"/>
      <c r="G1009" s="400"/>
    </row>
    <row r="1010" spans="5:7">
      <c r="E1010" s="400"/>
      <c r="F1010" s="400"/>
      <c r="G1010" s="400"/>
    </row>
    <row r="1011" spans="5:7">
      <c r="E1011" s="400"/>
      <c r="F1011" s="400"/>
      <c r="G1011" s="400"/>
    </row>
    <row r="1012" spans="5:7">
      <c r="E1012" s="400"/>
      <c r="F1012" s="400"/>
      <c r="G1012" s="400"/>
    </row>
    <row r="1013" spans="5:7">
      <c r="E1013" s="400"/>
      <c r="F1013" s="400"/>
      <c r="G1013" s="400"/>
    </row>
    <row r="1014" spans="5:7">
      <c r="E1014" s="400"/>
      <c r="F1014" s="400"/>
      <c r="G1014" s="400"/>
    </row>
    <row r="1015" spans="5:7">
      <c r="E1015" s="400"/>
      <c r="F1015" s="400"/>
      <c r="G1015" s="400"/>
    </row>
    <row r="1016" spans="5:7">
      <c r="E1016" s="400"/>
      <c r="F1016" s="400"/>
      <c r="G1016" s="400"/>
    </row>
    <row r="1017" spans="5:7">
      <c r="E1017" s="400"/>
      <c r="F1017" s="400"/>
      <c r="G1017" s="400"/>
    </row>
    <row r="1018" spans="5:7">
      <c r="E1018" s="400"/>
      <c r="F1018" s="400"/>
      <c r="G1018" s="400"/>
    </row>
    <row r="1019" spans="5:7">
      <c r="E1019" s="400"/>
      <c r="F1019" s="400"/>
      <c r="G1019" s="400"/>
    </row>
    <row r="1020" spans="5:7">
      <c r="E1020" s="400"/>
      <c r="F1020" s="400"/>
      <c r="G1020" s="400"/>
    </row>
    <row r="1021" spans="5:7">
      <c r="E1021" s="400"/>
      <c r="F1021" s="400"/>
      <c r="G1021" s="400"/>
    </row>
    <row r="1022" spans="5:7">
      <c r="E1022" s="400"/>
      <c r="F1022" s="400"/>
      <c r="G1022" s="400"/>
    </row>
    <row r="1023" spans="5:7">
      <c r="E1023" s="400"/>
      <c r="F1023" s="400"/>
      <c r="G1023" s="400"/>
    </row>
    <row r="1024" spans="5:7">
      <c r="E1024" s="400"/>
      <c r="F1024" s="400"/>
      <c r="G1024" s="400"/>
    </row>
    <row r="1025" spans="5:7">
      <c r="E1025" s="400"/>
      <c r="F1025" s="400"/>
      <c r="G1025" s="400"/>
    </row>
    <row r="1026" spans="5:7">
      <c r="E1026" s="400"/>
      <c r="F1026" s="400"/>
      <c r="G1026" s="400"/>
    </row>
    <row r="1027" spans="5:7">
      <c r="E1027" s="400"/>
      <c r="F1027" s="400"/>
      <c r="G1027" s="400"/>
    </row>
    <row r="1028" spans="5:7">
      <c r="E1028" s="400"/>
      <c r="F1028" s="400"/>
      <c r="G1028" s="400"/>
    </row>
    <row r="1029" spans="5:7">
      <c r="E1029" s="400"/>
      <c r="F1029" s="400"/>
      <c r="G1029" s="400"/>
    </row>
    <row r="1030" spans="5:7">
      <c r="E1030" s="400"/>
      <c r="F1030" s="400"/>
      <c r="G1030" s="400"/>
    </row>
    <row r="1031" spans="5:7">
      <c r="E1031" s="400"/>
      <c r="F1031" s="400"/>
      <c r="G1031" s="400"/>
    </row>
    <row r="1032" spans="5:7">
      <c r="E1032" s="400"/>
      <c r="F1032" s="400"/>
      <c r="G1032" s="400"/>
    </row>
    <row r="1033" spans="5:7">
      <c r="E1033" s="400"/>
      <c r="F1033" s="400"/>
      <c r="G1033" s="400"/>
    </row>
    <row r="1034" spans="5:7">
      <c r="E1034" s="400"/>
      <c r="F1034" s="400"/>
      <c r="G1034" s="400"/>
    </row>
    <row r="1035" spans="5:7">
      <c r="E1035" s="400"/>
      <c r="F1035" s="400"/>
      <c r="G1035" s="400"/>
    </row>
    <row r="1036" spans="5:7">
      <c r="E1036" s="400"/>
      <c r="F1036" s="400"/>
      <c r="G1036" s="400"/>
    </row>
    <row r="1037" spans="5:7">
      <c r="E1037" s="400"/>
      <c r="F1037" s="400"/>
      <c r="G1037" s="400"/>
    </row>
    <row r="1038" spans="5:7">
      <c r="E1038" s="400"/>
      <c r="F1038" s="400"/>
      <c r="G1038" s="400"/>
    </row>
    <row r="1039" spans="5:7">
      <c r="E1039" s="400"/>
      <c r="F1039" s="400"/>
      <c r="G1039" s="400"/>
    </row>
    <row r="1040" spans="5:7">
      <c r="E1040" s="400"/>
      <c r="F1040" s="400"/>
      <c r="G1040" s="400"/>
    </row>
    <row r="1041" spans="5:7">
      <c r="E1041" s="400"/>
      <c r="F1041" s="400"/>
      <c r="G1041" s="400"/>
    </row>
    <row r="1042" spans="5:7">
      <c r="E1042" s="400"/>
      <c r="F1042" s="400"/>
      <c r="G1042" s="400"/>
    </row>
    <row r="1043" spans="5:7">
      <c r="E1043" s="400"/>
      <c r="F1043" s="400"/>
      <c r="G1043" s="400"/>
    </row>
    <row r="1044" spans="5:7">
      <c r="E1044" s="400"/>
      <c r="F1044" s="400"/>
      <c r="G1044" s="400"/>
    </row>
    <row r="1045" spans="5:7">
      <c r="E1045" s="400"/>
      <c r="F1045" s="400"/>
      <c r="G1045" s="400"/>
    </row>
    <row r="1046" spans="5:7">
      <c r="E1046" s="400"/>
      <c r="F1046" s="400"/>
      <c r="G1046" s="400"/>
    </row>
    <row r="1047" spans="5:7">
      <c r="E1047" s="400"/>
      <c r="F1047" s="400"/>
      <c r="G1047" s="400"/>
    </row>
    <row r="1048" spans="5:7">
      <c r="E1048" s="400"/>
      <c r="F1048" s="400"/>
      <c r="G1048" s="400"/>
    </row>
    <row r="1049" spans="5:7">
      <c r="E1049" s="400"/>
      <c r="F1049" s="400"/>
      <c r="G1049" s="400"/>
    </row>
    <row r="1050" spans="5:7">
      <c r="E1050" s="400"/>
      <c r="F1050" s="400"/>
      <c r="G1050" s="400"/>
    </row>
    <row r="1051" spans="5:7">
      <c r="E1051" s="400"/>
      <c r="F1051" s="400"/>
      <c r="G1051" s="400"/>
    </row>
    <row r="1052" spans="5:7">
      <c r="E1052" s="400"/>
      <c r="F1052" s="400"/>
      <c r="G1052" s="400"/>
    </row>
    <row r="1053" spans="5:7">
      <c r="E1053" s="400"/>
      <c r="F1053" s="400"/>
      <c r="G1053" s="400"/>
    </row>
    <row r="1054" spans="5:7">
      <c r="E1054" s="400"/>
      <c r="F1054" s="400"/>
      <c r="G1054" s="400"/>
    </row>
    <row r="1055" spans="5:7">
      <c r="E1055" s="400"/>
      <c r="F1055" s="400"/>
      <c r="G1055" s="400"/>
    </row>
    <row r="1056" spans="5:7">
      <c r="E1056" s="400"/>
      <c r="F1056" s="400"/>
      <c r="G1056" s="400"/>
    </row>
    <row r="1057" spans="5:7">
      <c r="E1057" s="400"/>
      <c r="F1057" s="400"/>
      <c r="G1057" s="400"/>
    </row>
    <row r="1058" spans="5:7">
      <c r="E1058" s="400"/>
      <c r="F1058" s="400"/>
      <c r="G1058" s="400"/>
    </row>
    <row r="1059" spans="5:7">
      <c r="E1059" s="400"/>
      <c r="F1059" s="400"/>
      <c r="G1059" s="400"/>
    </row>
    <row r="1060" spans="5:7">
      <c r="E1060" s="400"/>
      <c r="F1060" s="400"/>
      <c r="G1060" s="400"/>
    </row>
    <row r="1061" spans="5:7">
      <c r="E1061" s="400"/>
      <c r="F1061" s="400"/>
      <c r="G1061" s="400"/>
    </row>
    <row r="1062" spans="5:7">
      <c r="E1062" s="400"/>
      <c r="F1062" s="400"/>
      <c r="G1062" s="400"/>
    </row>
    <row r="1063" spans="5:7">
      <c r="E1063" s="400"/>
      <c r="F1063" s="400"/>
      <c r="G1063" s="400"/>
    </row>
    <row r="1064" spans="5:7">
      <c r="E1064" s="400"/>
      <c r="F1064" s="400"/>
      <c r="G1064" s="400"/>
    </row>
    <row r="1065" spans="5:7">
      <c r="E1065" s="400"/>
      <c r="F1065" s="400"/>
      <c r="G1065" s="400"/>
    </row>
    <row r="1066" spans="5:7">
      <c r="E1066" s="400"/>
      <c r="F1066" s="400"/>
      <c r="G1066" s="400"/>
    </row>
    <row r="1067" spans="5:7">
      <c r="E1067" s="400"/>
      <c r="F1067" s="400"/>
      <c r="G1067" s="400"/>
    </row>
    <row r="1068" spans="5:7">
      <c r="E1068" s="400"/>
      <c r="F1068" s="400"/>
      <c r="G1068" s="400"/>
    </row>
    <row r="1069" spans="5:7">
      <c r="E1069" s="400"/>
      <c r="F1069" s="400"/>
      <c r="G1069" s="400"/>
    </row>
    <row r="1070" spans="5:7">
      <c r="E1070" s="400"/>
      <c r="F1070" s="400"/>
      <c r="G1070" s="400"/>
    </row>
    <row r="1071" spans="5:7">
      <c r="E1071" s="400"/>
      <c r="F1071" s="400"/>
      <c r="G1071" s="400"/>
    </row>
    <row r="1072" spans="5:7">
      <c r="E1072" s="400"/>
      <c r="F1072" s="400"/>
      <c r="G1072" s="400"/>
    </row>
    <row r="1073" spans="5:7">
      <c r="E1073" s="400"/>
      <c r="F1073" s="400"/>
      <c r="G1073" s="400"/>
    </row>
    <row r="1074" spans="5:7">
      <c r="E1074" s="400"/>
      <c r="F1074" s="400"/>
      <c r="G1074" s="400"/>
    </row>
    <row r="1075" spans="5:7">
      <c r="E1075" s="400"/>
      <c r="F1075" s="400"/>
      <c r="G1075" s="400"/>
    </row>
    <row r="1076" spans="5:7">
      <c r="E1076" s="400"/>
      <c r="F1076" s="400"/>
      <c r="G1076" s="400"/>
    </row>
    <row r="1077" spans="5:7">
      <c r="E1077" s="400"/>
      <c r="F1077" s="400"/>
      <c r="G1077" s="400"/>
    </row>
    <row r="1078" spans="5:7">
      <c r="E1078" s="400"/>
      <c r="F1078" s="400"/>
      <c r="G1078" s="400"/>
    </row>
    <row r="1079" spans="5:7">
      <c r="E1079" s="400"/>
      <c r="F1079" s="400"/>
      <c r="G1079" s="400"/>
    </row>
    <row r="1080" spans="5:7">
      <c r="E1080" s="400"/>
      <c r="F1080" s="400"/>
      <c r="G1080" s="400"/>
    </row>
    <row r="1081" spans="5:7">
      <c r="E1081" s="400"/>
      <c r="F1081" s="400"/>
      <c r="G1081" s="400"/>
    </row>
    <row r="1082" spans="5:7">
      <c r="E1082" s="400"/>
      <c r="F1082" s="400"/>
      <c r="G1082" s="400"/>
    </row>
    <row r="1083" spans="5:7">
      <c r="E1083" s="400"/>
      <c r="F1083" s="400"/>
      <c r="G1083" s="400"/>
    </row>
    <row r="1084" spans="5:7">
      <c r="E1084" s="400"/>
      <c r="F1084" s="400"/>
      <c r="G1084" s="400"/>
    </row>
    <row r="1085" spans="5:7">
      <c r="E1085" s="400"/>
      <c r="F1085" s="400"/>
      <c r="G1085" s="400"/>
    </row>
    <row r="1086" spans="5:7">
      <c r="E1086" s="400"/>
      <c r="F1086" s="400"/>
      <c r="G1086" s="400"/>
    </row>
    <row r="1087" spans="5:7">
      <c r="E1087" s="400"/>
      <c r="F1087" s="400"/>
      <c r="G1087" s="400"/>
    </row>
    <row r="1088" spans="5:7">
      <c r="E1088" s="400"/>
      <c r="F1088" s="400"/>
      <c r="G1088" s="400"/>
    </row>
    <row r="1089" spans="5:7">
      <c r="E1089" s="400"/>
      <c r="F1089" s="400"/>
      <c r="G1089" s="400"/>
    </row>
    <row r="1090" spans="5:7">
      <c r="E1090" s="400"/>
      <c r="F1090" s="400"/>
      <c r="G1090" s="400"/>
    </row>
    <row r="1091" spans="5:7">
      <c r="E1091" s="400"/>
      <c r="F1091" s="400"/>
      <c r="G1091" s="400"/>
    </row>
    <row r="1092" spans="5:7">
      <c r="E1092" s="400"/>
      <c r="F1092" s="400"/>
      <c r="G1092" s="400"/>
    </row>
    <row r="1093" spans="5:7">
      <c r="E1093" s="400"/>
      <c r="F1093" s="400"/>
      <c r="G1093" s="400"/>
    </row>
    <row r="1094" spans="5:7">
      <c r="E1094" s="400"/>
      <c r="F1094" s="400"/>
      <c r="G1094" s="400"/>
    </row>
    <row r="1095" spans="5:7">
      <c r="E1095" s="400"/>
      <c r="F1095" s="400"/>
      <c r="G1095" s="400"/>
    </row>
    <row r="1096" spans="5:7">
      <c r="E1096" s="400"/>
      <c r="F1096" s="400"/>
      <c r="G1096" s="400"/>
    </row>
    <row r="1097" spans="5:7">
      <c r="E1097" s="400"/>
      <c r="F1097" s="400"/>
      <c r="G1097" s="400"/>
    </row>
    <row r="1098" spans="5:7">
      <c r="E1098" s="400"/>
      <c r="F1098" s="400"/>
      <c r="G1098" s="400"/>
    </row>
    <row r="1099" spans="5:7">
      <c r="E1099" s="400"/>
      <c r="F1099" s="400"/>
      <c r="G1099" s="400"/>
    </row>
    <row r="1100" spans="5:7">
      <c r="E1100" s="400"/>
      <c r="F1100" s="400"/>
      <c r="G1100" s="400"/>
    </row>
    <row r="1101" spans="5:7">
      <c r="E1101" s="400"/>
      <c r="F1101" s="400"/>
      <c r="G1101" s="400"/>
    </row>
    <row r="1102" spans="5:7">
      <c r="E1102" s="400"/>
      <c r="F1102" s="400"/>
      <c r="G1102" s="400"/>
    </row>
    <row r="1103" spans="5:7">
      <c r="E1103" s="400"/>
      <c r="F1103" s="400"/>
      <c r="G1103" s="400"/>
    </row>
    <row r="1104" spans="5:7">
      <c r="E1104" s="400"/>
      <c r="F1104" s="400"/>
      <c r="G1104" s="400"/>
    </row>
    <row r="1105" spans="5:7">
      <c r="E1105" s="400"/>
      <c r="F1105" s="400"/>
      <c r="G1105" s="400"/>
    </row>
    <row r="1106" spans="5:7">
      <c r="E1106" s="400"/>
      <c r="F1106" s="400"/>
      <c r="G1106" s="400"/>
    </row>
    <row r="1107" spans="5:7">
      <c r="E1107" s="400"/>
      <c r="F1107" s="400"/>
      <c r="G1107" s="400"/>
    </row>
    <row r="1108" spans="5:7">
      <c r="E1108" s="400"/>
      <c r="F1108" s="400"/>
      <c r="G1108" s="400"/>
    </row>
    <row r="1109" spans="5:7">
      <c r="E1109" s="400"/>
      <c r="F1109" s="400"/>
      <c r="G1109" s="400"/>
    </row>
    <row r="1110" spans="5:7">
      <c r="E1110" s="400"/>
      <c r="F1110" s="400"/>
      <c r="G1110" s="400"/>
    </row>
    <row r="1111" spans="5:7">
      <c r="E1111" s="400"/>
      <c r="F1111" s="400"/>
      <c r="G1111" s="400"/>
    </row>
    <row r="1112" spans="5:7">
      <c r="E1112" s="400"/>
      <c r="F1112" s="400"/>
      <c r="G1112" s="400"/>
    </row>
    <row r="1113" spans="5:7">
      <c r="E1113" s="400"/>
      <c r="F1113" s="400"/>
      <c r="G1113" s="400"/>
    </row>
    <row r="1114" spans="5:7">
      <c r="E1114" s="400"/>
      <c r="F1114" s="400"/>
      <c r="G1114" s="400"/>
    </row>
    <row r="1115" spans="5:7">
      <c r="E1115" s="400"/>
      <c r="F1115" s="400"/>
      <c r="G1115" s="400"/>
    </row>
    <row r="1116" spans="5:7">
      <c r="E1116" s="400"/>
      <c r="F1116" s="400"/>
      <c r="G1116" s="400"/>
    </row>
    <row r="1117" spans="5:7">
      <c r="E1117" s="400"/>
      <c r="F1117" s="400"/>
      <c r="G1117" s="400"/>
    </row>
    <row r="1118" spans="5:7">
      <c r="E1118" s="400"/>
      <c r="F1118" s="400"/>
      <c r="G1118" s="400"/>
    </row>
    <row r="1119" spans="5:7">
      <c r="E1119" s="400"/>
      <c r="F1119" s="400"/>
      <c r="G1119" s="400"/>
    </row>
    <row r="1120" spans="5:7">
      <c r="E1120" s="400"/>
      <c r="F1120" s="400"/>
      <c r="G1120" s="400"/>
    </row>
    <row r="1121" spans="5:7">
      <c r="E1121" s="400"/>
      <c r="F1121" s="400"/>
      <c r="G1121" s="400"/>
    </row>
    <row r="1122" spans="5:7">
      <c r="E1122" s="400"/>
      <c r="F1122" s="400"/>
      <c r="G1122" s="400"/>
    </row>
    <row r="1123" spans="5:7">
      <c r="E1123" s="400"/>
      <c r="F1123" s="400"/>
      <c r="G1123" s="400"/>
    </row>
    <row r="1124" spans="5:7">
      <c r="E1124" s="400"/>
      <c r="F1124" s="400"/>
      <c r="G1124" s="400"/>
    </row>
    <row r="1125" spans="5:7">
      <c r="E1125" s="400"/>
      <c r="F1125" s="400"/>
      <c r="G1125" s="400"/>
    </row>
    <row r="1126" spans="5:7">
      <c r="E1126" s="400"/>
      <c r="F1126" s="400"/>
      <c r="G1126" s="400"/>
    </row>
    <row r="1127" spans="5:7">
      <c r="E1127" s="400"/>
      <c r="F1127" s="400"/>
      <c r="G1127" s="400"/>
    </row>
    <row r="1128" spans="5:7">
      <c r="E1128" s="400"/>
      <c r="F1128" s="400"/>
      <c r="G1128" s="400"/>
    </row>
    <row r="1129" spans="5:7">
      <c r="E1129" s="400"/>
      <c r="F1129" s="400"/>
      <c r="G1129" s="400"/>
    </row>
    <row r="1130" spans="5:7">
      <c r="E1130" s="400"/>
      <c r="F1130" s="400"/>
      <c r="G1130" s="400"/>
    </row>
    <row r="1131" spans="5:7">
      <c r="E1131" s="400"/>
      <c r="F1131" s="400"/>
      <c r="G1131" s="400"/>
    </row>
    <row r="1132" spans="5:7">
      <c r="E1132" s="400"/>
      <c r="F1132" s="400"/>
      <c r="G1132" s="400"/>
    </row>
    <row r="1133" spans="5:7">
      <c r="E1133" s="400"/>
      <c r="F1133" s="400"/>
      <c r="G1133" s="400"/>
    </row>
    <row r="1134" spans="5:7">
      <c r="E1134" s="400"/>
      <c r="F1134" s="400"/>
      <c r="G1134" s="400"/>
    </row>
    <row r="1135" spans="5:7">
      <c r="E1135" s="400"/>
      <c r="F1135" s="400"/>
      <c r="G1135" s="400"/>
    </row>
    <row r="1136" spans="5:7">
      <c r="E1136" s="400"/>
      <c r="F1136" s="400"/>
      <c r="G1136" s="400"/>
    </row>
    <row r="1137" spans="5:7">
      <c r="E1137" s="400"/>
      <c r="F1137" s="400"/>
      <c r="G1137" s="400"/>
    </row>
    <row r="1138" spans="5:7">
      <c r="E1138" s="400"/>
      <c r="F1138" s="400"/>
      <c r="G1138" s="400"/>
    </row>
    <row r="1139" spans="5:7">
      <c r="E1139" s="400"/>
      <c r="F1139" s="400"/>
      <c r="G1139" s="400"/>
    </row>
    <row r="1140" spans="5:7">
      <c r="E1140" s="400"/>
      <c r="F1140" s="400"/>
      <c r="G1140" s="400"/>
    </row>
    <row r="1141" spans="5:7">
      <c r="E1141" s="400"/>
      <c r="F1141" s="400"/>
      <c r="G1141" s="400"/>
    </row>
    <row r="1142" spans="5:7">
      <c r="E1142" s="400"/>
      <c r="F1142" s="400"/>
      <c r="G1142" s="400"/>
    </row>
    <row r="1143" spans="5:7">
      <c r="E1143" s="400"/>
      <c r="F1143" s="400"/>
      <c r="G1143" s="400"/>
    </row>
    <row r="1144" spans="5:7">
      <c r="E1144" s="400"/>
      <c r="F1144" s="400"/>
      <c r="G1144" s="400"/>
    </row>
    <row r="1145" spans="5:7">
      <c r="E1145" s="400"/>
      <c r="F1145" s="400"/>
      <c r="G1145" s="400"/>
    </row>
    <row r="1146" spans="5:7">
      <c r="E1146" s="400"/>
      <c r="F1146" s="400"/>
      <c r="G1146" s="400"/>
    </row>
    <row r="1147" spans="5:7">
      <c r="E1147" s="400"/>
      <c r="F1147" s="400"/>
      <c r="G1147" s="400"/>
    </row>
    <row r="1148" spans="5:7">
      <c r="E1148" s="400"/>
      <c r="F1148" s="400"/>
      <c r="G1148" s="400"/>
    </row>
    <row r="1149" spans="5:7">
      <c r="E1149" s="400"/>
      <c r="F1149" s="400"/>
      <c r="G1149" s="400"/>
    </row>
    <row r="1150" spans="5:7">
      <c r="E1150" s="400"/>
      <c r="F1150" s="400"/>
      <c r="G1150" s="400"/>
    </row>
    <row r="1151" spans="5:7">
      <c r="E1151" s="400"/>
      <c r="F1151" s="400"/>
      <c r="G1151" s="400"/>
    </row>
    <row r="1152" spans="5:7">
      <c r="E1152" s="400"/>
      <c r="F1152" s="400"/>
      <c r="G1152" s="400"/>
    </row>
    <row r="1153" spans="5:7">
      <c r="E1153" s="400"/>
      <c r="F1153" s="400"/>
      <c r="G1153" s="400"/>
    </row>
    <row r="1154" spans="5:7">
      <c r="E1154" s="400"/>
      <c r="F1154" s="400"/>
      <c r="G1154" s="400"/>
    </row>
    <row r="1155" spans="5:7">
      <c r="E1155" s="400"/>
      <c r="F1155" s="400"/>
      <c r="G1155" s="400"/>
    </row>
    <row r="1156" spans="5:7">
      <c r="E1156" s="400"/>
      <c r="F1156" s="400"/>
      <c r="G1156" s="400"/>
    </row>
    <row r="1157" spans="5:7">
      <c r="E1157" s="400"/>
      <c r="F1157" s="400"/>
      <c r="G1157" s="400"/>
    </row>
    <row r="1158" spans="5:7">
      <c r="E1158" s="400"/>
      <c r="F1158" s="400"/>
      <c r="G1158" s="400"/>
    </row>
    <row r="1159" spans="5:7">
      <c r="E1159" s="400"/>
      <c r="F1159" s="400"/>
      <c r="G1159" s="400"/>
    </row>
    <row r="1160" spans="5:7">
      <c r="E1160" s="400"/>
      <c r="F1160" s="400"/>
      <c r="G1160" s="400"/>
    </row>
    <row r="1161" spans="5:7">
      <c r="E1161" s="400"/>
      <c r="F1161" s="400"/>
      <c r="G1161" s="400"/>
    </row>
    <row r="1162" spans="5:7">
      <c r="E1162" s="400"/>
      <c r="F1162" s="400"/>
      <c r="G1162" s="400"/>
    </row>
    <row r="1163" spans="5:7">
      <c r="E1163" s="400"/>
      <c r="F1163" s="400"/>
      <c r="G1163" s="400"/>
    </row>
    <row r="1164" spans="5:7">
      <c r="E1164" s="400"/>
      <c r="F1164" s="400"/>
      <c r="G1164" s="400"/>
    </row>
    <row r="1165" spans="5:7">
      <c r="E1165" s="400"/>
      <c r="F1165" s="400"/>
      <c r="G1165" s="400"/>
    </row>
    <row r="1166" spans="5:7">
      <c r="E1166" s="400"/>
      <c r="F1166" s="400"/>
      <c r="G1166" s="400"/>
    </row>
    <row r="1167" spans="5:7">
      <c r="E1167" s="400"/>
      <c r="F1167" s="400"/>
      <c r="G1167" s="400"/>
    </row>
    <row r="1168" spans="5:7">
      <c r="E1168" s="400"/>
      <c r="F1168" s="400"/>
      <c r="G1168" s="400"/>
    </row>
    <row r="1169" spans="5:7">
      <c r="E1169" s="400"/>
      <c r="F1169" s="400"/>
      <c r="G1169" s="400"/>
    </row>
    <row r="1170" spans="5:7">
      <c r="E1170" s="400"/>
      <c r="F1170" s="400"/>
      <c r="G1170" s="400"/>
    </row>
    <row r="1171" spans="5:7">
      <c r="E1171" s="400"/>
      <c r="F1171" s="400"/>
      <c r="G1171" s="400"/>
    </row>
    <row r="1172" spans="5:7">
      <c r="E1172" s="400"/>
      <c r="F1172" s="400"/>
      <c r="G1172" s="400"/>
    </row>
    <row r="1173" spans="5:7">
      <c r="E1173" s="400"/>
      <c r="F1173" s="400"/>
      <c r="G1173" s="400"/>
    </row>
    <row r="1174" spans="5:7">
      <c r="E1174" s="400"/>
      <c r="F1174" s="400"/>
      <c r="G1174" s="400"/>
    </row>
    <row r="1175" spans="5:7">
      <c r="E1175" s="400"/>
      <c r="F1175" s="400"/>
      <c r="G1175" s="400"/>
    </row>
    <row r="1176" spans="5:7">
      <c r="E1176" s="400"/>
      <c r="F1176" s="400"/>
      <c r="G1176" s="400"/>
    </row>
    <row r="1177" spans="5:7">
      <c r="E1177" s="400"/>
      <c r="F1177" s="400"/>
      <c r="G1177" s="400"/>
    </row>
    <row r="1178" spans="5:7">
      <c r="E1178" s="400"/>
      <c r="F1178" s="400"/>
      <c r="G1178" s="400"/>
    </row>
    <row r="1179" spans="5:7">
      <c r="E1179" s="400"/>
      <c r="F1179" s="400"/>
      <c r="G1179" s="400"/>
    </row>
    <row r="1180" spans="5:7">
      <c r="E1180" s="400"/>
      <c r="F1180" s="400"/>
      <c r="G1180" s="400"/>
    </row>
    <row r="1181" spans="5:7">
      <c r="E1181" s="400"/>
      <c r="F1181" s="400"/>
      <c r="G1181" s="400"/>
    </row>
    <row r="1182" spans="5:7">
      <c r="E1182" s="400"/>
      <c r="F1182" s="400"/>
      <c r="G1182" s="400"/>
    </row>
    <row r="1183" spans="5:7">
      <c r="E1183" s="400"/>
      <c r="F1183" s="400"/>
      <c r="G1183" s="400"/>
    </row>
    <row r="1184" spans="5:7">
      <c r="E1184" s="400"/>
      <c r="F1184" s="400"/>
      <c r="G1184" s="400"/>
    </row>
    <row r="1185" spans="5:7">
      <c r="E1185" s="400"/>
      <c r="F1185" s="400"/>
      <c r="G1185" s="400"/>
    </row>
    <row r="1186" spans="5:7">
      <c r="E1186" s="400"/>
      <c r="F1186" s="400"/>
      <c r="G1186" s="400"/>
    </row>
    <row r="1187" spans="5:7">
      <c r="E1187" s="400"/>
      <c r="F1187" s="400"/>
      <c r="G1187" s="400"/>
    </row>
    <row r="1188" spans="5:7">
      <c r="E1188" s="400"/>
      <c r="F1188" s="400"/>
      <c r="G1188" s="400"/>
    </row>
    <row r="1189" spans="5:7">
      <c r="E1189" s="400"/>
      <c r="F1189" s="400"/>
      <c r="G1189" s="400"/>
    </row>
    <row r="1190" spans="5:7">
      <c r="E1190" s="400"/>
      <c r="F1190" s="400"/>
      <c r="G1190" s="400"/>
    </row>
    <row r="1191" spans="5:7">
      <c r="E1191" s="400"/>
      <c r="F1191" s="400"/>
      <c r="G1191" s="400"/>
    </row>
    <row r="1192" spans="5:7">
      <c r="E1192" s="400"/>
      <c r="F1192" s="400"/>
      <c r="G1192" s="400"/>
    </row>
    <row r="1193" spans="5:7">
      <c r="E1193" s="400"/>
      <c r="F1193" s="400"/>
      <c r="G1193" s="400"/>
    </row>
  </sheetData>
  <mergeCells count="468">
    <mergeCell ref="O75:O76"/>
    <mergeCell ref="N140:N142"/>
    <mergeCell ref="O140:O142"/>
    <mergeCell ref="N115:N116"/>
    <mergeCell ref="M117:M118"/>
    <mergeCell ref="O113:O114"/>
    <mergeCell ref="O115:O116"/>
    <mergeCell ref="N117:N118"/>
    <mergeCell ref="O117:O118"/>
    <mergeCell ref="M115:M116"/>
    <mergeCell ref="N103:N105"/>
    <mergeCell ref="O103:O105"/>
    <mergeCell ref="M106:M107"/>
    <mergeCell ref="N106:N107"/>
    <mergeCell ref="O106:O107"/>
    <mergeCell ref="O88:O89"/>
    <mergeCell ref="M90:M92"/>
    <mergeCell ref="N90:N92"/>
    <mergeCell ref="M75:M76"/>
    <mergeCell ref="O29:O30"/>
    <mergeCell ref="M31:M32"/>
    <mergeCell ref="O31:O32"/>
    <mergeCell ref="M33:M34"/>
    <mergeCell ref="N33:N34"/>
    <mergeCell ref="O33:O34"/>
    <mergeCell ref="O54:O55"/>
    <mergeCell ref="M36:M39"/>
    <mergeCell ref="N36:N39"/>
    <mergeCell ref="O36:O39"/>
    <mergeCell ref="K35:P35"/>
    <mergeCell ref="P36:P39"/>
    <mergeCell ref="K44:K46"/>
    <mergeCell ref="P44:P46"/>
    <mergeCell ref="M44:M46"/>
    <mergeCell ref="N44:N46"/>
    <mergeCell ref="O44:O46"/>
    <mergeCell ref="M47:M51"/>
    <mergeCell ref="N47:N51"/>
    <mergeCell ref="L36:L39"/>
    <mergeCell ref="L44:L46"/>
    <mergeCell ref="L47:L51"/>
    <mergeCell ref="L120:L121"/>
    <mergeCell ref="L123:L126"/>
    <mergeCell ref="L137:L139"/>
    <mergeCell ref="L113:L114"/>
    <mergeCell ref="L115:L116"/>
    <mergeCell ref="L117:L118"/>
    <mergeCell ref="M113:M114"/>
    <mergeCell ref="N113:N114"/>
    <mergeCell ref="L135:L136"/>
    <mergeCell ref="K119:P119"/>
    <mergeCell ref="K122:P122"/>
    <mergeCell ref="L94:L96"/>
    <mergeCell ref="M94:M96"/>
    <mergeCell ref="L103:L105"/>
    <mergeCell ref="L106:L107"/>
    <mergeCell ref="M103:M105"/>
    <mergeCell ref="M137:M139"/>
    <mergeCell ref="N137:N139"/>
    <mergeCell ref="N135:N136"/>
    <mergeCell ref="A36:A39"/>
    <mergeCell ref="B36:B39"/>
    <mergeCell ref="C36:C39"/>
    <mergeCell ref="K36:K39"/>
    <mergeCell ref="A68:A70"/>
    <mergeCell ref="A58:A59"/>
    <mergeCell ref="B58:B59"/>
    <mergeCell ref="C58:C59"/>
    <mergeCell ref="K58:K59"/>
    <mergeCell ref="B68:B70"/>
    <mergeCell ref="C68:C70"/>
    <mergeCell ref="B66:B67"/>
    <mergeCell ref="A71:A72"/>
    <mergeCell ref="B71:B72"/>
    <mergeCell ref="C71:C72"/>
    <mergeCell ref="K71:K72"/>
    <mergeCell ref="C44:C45"/>
    <mergeCell ref="J52:J53"/>
    <mergeCell ref="A44:A46"/>
    <mergeCell ref="A40:A41"/>
    <mergeCell ref="A42:A43"/>
    <mergeCell ref="J36:J39"/>
    <mergeCell ref="B40:B41"/>
    <mergeCell ref="C40:C41"/>
    <mergeCell ref="B42:B43"/>
    <mergeCell ref="B44:B46"/>
    <mergeCell ref="J44:J51"/>
    <mergeCell ref="A47:A51"/>
    <mergeCell ref="B47:B51"/>
    <mergeCell ref="C47:C51"/>
    <mergeCell ref="C42:C43"/>
    <mergeCell ref="B52:B53"/>
    <mergeCell ref="C52:C53"/>
    <mergeCell ref="A52:A53"/>
    <mergeCell ref="A1:K1"/>
    <mergeCell ref="H17:H18"/>
    <mergeCell ref="A24:A28"/>
    <mergeCell ref="B26:B28"/>
    <mergeCell ref="C26:C28"/>
    <mergeCell ref="A20:A23"/>
    <mergeCell ref="B20:B23"/>
    <mergeCell ref="C20:C23"/>
    <mergeCell ref="J20:J23"/>
    <mergeCell ref="K20:K23"/>
    <mergeCell ref="A12:P12"/>
    <mergeCell ref="C13:J13"/>
    <mergeCell ref="A2:P2"/>
    <mergeCell ref="B17:B18"/>
    <mergeCell ref="A17:A18"/>
    <mergeCell ref="E17:E18"/>
    <mergeCell ref="D17:D18"/>
    <mergeCell ref="C17:C18"/>
    <mergeCell ref="L20:L23"/>
    <mergeCell ref="O20:O21"/>
    <mergeCell ref="O22:O23"/>
    <mergeCell ref="A31:A32"/>
    <mergeCell ref="B31:B32"/>
    <mergeCell ref="C31:C32"/>
    <mergeCell ref="A33:A34"/>
    <mergeCell ref="B33:B34"/>
    <mergeCell ref="C33:C34"/>
    <mergeCell ref="J17:J18"/>
    <mergeCell ref="G17:G18"/>
    <mergeCell ref="A29:A30"/>
    <mergeCell ref="B29:B30"/>
    <mergeCell ref="C29:C30"/>
    <mergeCell ref="I17:I18"/>
    <mergeCell ref="F17:F18"/>
    <mergeCell ref="P58:P59"/>
    <mergeCell ref="P60:P62"/>
    <mergeCell ref="P66:P67"/>
    <mergeCell ref="O60:O62"/>
    <mergeCell ref="L68:L70"/>
    <mergeCell ref="M66:M67"/>
    <mergeCell ref="N66:N67"/>
    <mergeCell ref="O66:O67"/>
    <mergeCell ref="M68:M70"/>
    <mergeCell ref="N68:N70"/>
    <mergeCell ref="O68:O70"/>
    <mergeCell ref="O58:O59"/>
    <mergeCell ref="L58:L59"/>
    <mergeCell ref="L60:L62"/>
    <mergeCell ref="L63:L65"/>
    <mergeCell ref="L66:L67"/>
    <mergeCell ref="M58:M59"/>
    <mergeCell ref="N58:N59"/>
    <mergeCell ref="A75:A77"/>
    <mergeCell ref="B75:B77"/>
    <mergeCell ref="C75:C77"/>
    <mergeCell ref="D75:D76"/>
    <mergeCell ref="J73:J77"/>
    <mergeCell ref="A73:A74"/>
    <mergeCell ref="B73:B74"/>
    <mergeCell ref="C73:C74"/>
    <mergeCell ref="L73:L74"/>
    <mergeCell ref="L75:L77"/>
    <mergeCell ref="K75:K77"/>
    <mergeCell ref="B56:B57"/>
    <mergeCell ref="C56:C57"/>
    <mergeCell ref="K56:K57"/>
    <mergeCell ref="P56:P57"/>
    <mergeCell ref="A54:A55"/>
    <mergeCell ref="B54:B55"/>
    <mergeCell ref="C54:C55"/>
    <mergeCell ref="K54:K55"/>
    <mergeCell ref="P54:P55"/>
    <mergeCell ref="A56:A57"/>
    <mergeCell ref="N56:N57"/>
    <mergeCell ref="N54:N55"/>
    <mergeCell ref="M56:M57"/>
    <mergeCell ref="L52:L53"/>
    <mergeCell ref="L54:L55"/>
    <mergeCell ref="L56:L57"/>
    <mergeCell ref="O56:O57"/>
    <mergeCell ref="M54:M55"/>
    <mergeCell ref="K47:K51"/>
    <mergeCell ref="O47:O51"/>
    <mergeCell ref="M52:M53"/>
    <mergeCell ref="O52:O53"/>
    <mergeCell ref="N52:N53"/>
    <mergeCell ref="A78:A80"/>
    <mergeCell ref="B78:B80"/>
    <mergeCell ref="C78:C80"/>
    <mergeCell ref="K78:K80"/>
    <mergeCell ref="P78:P80"/>
    <mergeCell ref="L78:L80"/>
    <mergeCell ref="L81:L82"/>
    <mergeCell ref="O78:O80"/>
    <mergeCell ref="O81:O82"/>
    <mergeCell ref="N78:N80"/>
    <mergeCell ref="N81:N82"/>
    <mergeCell ref="M78:M80"/>
    <mergeCell ref="M81:M82"/>
    <mergeCell ref="J78:J92"/>
    <mergeCell ref="A83:A85"/>
    <mergeCell ref="B83:B85"/>
    <mergeCell ref="C83:C85"/>
    <mergeCell ref="K83:K85"/>
    <mergeCell ref="P83:P85"/>
    <mergeCell ref="L83:L85"/>
    <mergeCell ref="M83:M85"/>
    <mergeCell ref="N83:N85"/>
    <mergeCell ref="O83:O85"/>
    <mergeCell ref="A81:A82"/>
    <mergeCell ref="B81:B82"/>
    <mergeCell ref="C81:C82"/>
    <mergeCell ref="K81:K82"/>
    <mergeCell ref="A106:A107"/>
    <mergeCell ref="B106:B107"/>
    <mergeCell ref="C106:C107"/>
    <mergeCell ref="K106:K107"/>
    <mergeCell ref="P106:P107"/>
    <mergeCell ref="P108:P109"/>
    <mergeCell ref="L108:L109"/>
    <mergeCell ref="M108:M109"/>
    <mergeCell ref="N108:N109"/>
    <mergeCell ref="O108:O109"/>
    <mergeCell ref="A108:A109"/>
    <mergeCell ref="B108:B109"/>
    <mergeCell ref="C108:C109"/>
    <mergeCell ref="K108:K109"/>
    <mergeCell ref="J106:J109"/>
    <mergeCell ref="J94:J105"/>
    <mergeCell ref="A86:A87"/>
    <mergeCell ref="B86:B87"/>
    <mergeCell ref="C86:C87"/>
    <mergeCell ref="K86:K87"/>
    <mergeCell ref="P86:P87"/>
    <mergeCell ref="A111:A112"/>
    <mergeCell ref="K111:K112"/>
    <mergeCell ref="P111:P112"/>
    <mergeCell ref="O111:O112"/>
    <mergeCell ref="C115:C116"/>
    <mergeCell ref="B115:B116"/>
    <mergeCell ref="C117:C118"/>
    <mergeCell ref="B111:B112"/>
    <mergeCell ref="C111:C112"/>
    <mergeCell ref="L111:L112"/>
    <mergeCell ref="M111:M112"/>
    <mergeCell ref="N111:N112"/>
    <mergeCell ref="A113:A114"/>
    <mergeCell ref="B113:B114"/>
    <mergeCell ref="C113:C114"/>
    <mergeCell ref="K113:K114"/>
    <mergeCell ref="P113:P114"/>
    <mergeCell ref="J111:J118"/>
    <mergeCell ref="A115:A116"/>
    <mergeCell ref="K115:K116"/>
    <mergeCell ref="P115:P116"/>
    <mergeCell ref="A117:A118"/>
    <mergeCell ref="B117:B118"/>
    <mergeCell ref="K117:K118"/>
    <mergeCell ref="A120:A121"/>
    <mergeCell ref="B120:B121"/>
    <mergeCell ref="C120:C121"/>
    <mergeCell ref="K120:K121"/>
    <mergeCell ref="P120:P121"/>
    <mergeCell ref="A137:A139"/>
    <mergeCell ref="B137:B139"/>
    <mergeCell ref="K137:K139"/>
    <mergeCell ref="P137:P139"/>
    <mergeCell ref="A123:A126"/>
    <mergeCell ref="B123:B126"/>
    <mergeCell ref="C123:C126"/>
    <mergeCell ref="K123:K126"/>
    <mergeCell ref="P123:P126"/>
    <mergeCell ref="M120:M121"/>
    <mergeCell ref="N120:N121"/>
    <mergeCell ref="O120:O121"/>
    <mergeCell ref="M123:M126"/>
    <mergeCell ref="N123:N126"/>
    <mergeCell ref="O135:O136"/>
    <mergeCell ref="O137:O139"/>
    <mergeCell ref="C137:C139"/>
    <mergeCell ref="O123:O126"/>
    <mergeCell ref="M135:M136"/>
    <mergeCell ref="P172:P173"/>
    <mergeCell ref="J172:J173"/>
    <mergeCell ref="A180:A181"/>
    <mergeCell ref="B180:B181"/>
    <mergeCell ref="C180:C181"/>
    <mergeCell ref="K180:K181"/>
    <mergeCell ref="P180:P181"/>
    <mergeCell ref="J180:J181"/>
    <mergeCell ref="M172:M173"/>
    <mergeCell ref="N172:N173"/>
    <mergeCell ref="O172:O173"/>
    <mergeCell ref="M180:M181"/>
    <mergeCell ref="N180:N181"/>
    <mergeCell ref="O180:O181"/>
    <mergeCell ref="L180:L181"/>
    <mergeCell ref="L172:L173"/>
    <mergeCell ref="A172:A173"/>
    <mergeCell ref="B172:B173"/>
    <mergeCell ref="C172:C173"/>
    <mergeCell ref="K172:K173"/>
    <mergeCell ref="P187:P188"/>
    <mergeCell ref="J187:J188"/>
    <mergeCell ref="B184:B186"/>
    <mergeCell ref="C184:C186"/>
    <mergeCell ref="K184:K186"/>
    <mergeCell ref="P184:P186"/>
    <mergeCell ref="J184:J186"/>
    <mergeCell ref="L187:L188"/>
    <mergeCell ref="M187:M188"/>
    <mergeCell ref="N187:N188"/>
    <mergeCell ref="O187:O188"/>
    <mergeCell ref="M184:M186"/>
    <mergeCell ref="N184:N186"/>
    <mergeCell ref="O184:O186"/>
    <mergeCell ref="L184:L186"/>
    <mergeCell ref="B187:B188"/>
    <mergeCell ref="C187:C188"/>
    <mergeCell ref="K187:K188"/>
    <mergeCell ref="B199:D199"/>
    <mergeCell ref="B200:D200"/>
    <mergeCell ref="B190:D190"/>
    <mergeCell ref="B191:D191"/>
    <mergeCell ref="B192:D192"/>
    <mergeCell ref="B193:D193"/>
    <mergeCell ref="B194:D194"/>
    <mergeCell ref="A187:A188"/>
    <mergeCell ref="A103:A105"/>
    <mergeCell ref="B103:B105"/>
    <mergeCell ref="C103:C105"/>
    <mergeCell ref="B195:D195"/>
    <mergeCell ref="B196:D196"/>
    <mergeCell ref="B197:D197"/>
    <mergeCell ref="B198:D198"/>
    <mergeCell ref="A184:A186"/>
    <mergeCell ref="A166:A169"/>
    <mergeCell ref="B166:B169"/>
    <mergeCell ref="C166:C169"/>
    <mergeCell ref="A143:A145"/>
    <mergeCell ref="B143:B145"/>
    <mergeCell ref="C143:C145"/>
    <mergeCell ref="A140:A142"/>
    <mergeCell ref="B189:D189"/>
    <mergeCell ref="K29:K30"/>
    <mergeCell ref="J29:J30"/>
    <mergeCell ref="L29:L30"/>
    <mergeCell ref="L31:L32"/>
    <mergeCell ref="L33:L34"/>
    <mergeCell ref="L17:L18"/>
    <mergeCell ref="M17:M18"/>
    <mergeCell ref="N17:O17"/>
    <mergeCell ref="M20:M21"/>
    <mergeCell ref="M22:M23"/>
    <mergeCell ref="K31:K32"/>
    <mergeCell ref="K33:K34"/>
    <mergeCell ref="K17:K18"/>
    <mergeCell ref="M29:M30"/>
    <mergeCell ref="N29:N30"/>
    <mergeCell ref="K19:P19"/>
    <mergeCell ref="N20:N21"/>
    <mergeCell ref="N22:N23"/>
    <mergeCell ref="N31:N32"/>
    <mergeCell ref="P33:P34"/>
    <mergeCell ref="P31:P32"/>
    <mergeCell ref="J31:J32"/>
    <mergeCell ref="J33:J34"/>
    <mergeCell ref="P17:P18"/>
    <mergeCell ref="C66:C67"/>
    <mergeCell ref="K66:K67"/>
    <mergeCell ref="A66:A67"/>
    <mergeCell ref="A88:A89"/>
    <mergeCell ref="B88:B89"/>
    <mergeCell ref="C88:C89"/>
    <mergeCell ref="K88:K89"/>
    <mergeCell ref="P88:P89"/>
    <mergeCell ref="A94:A96"/>
    <mergeCell ref="B94:B96"/>
    <mergeCell ref="C94:C96"/>
    <mergeCell ref="K94:K96"/>
    <mergeCell ref="P94:P96"/>
    <mergeCell ref="A90:A92"/>
    <mergeCell ref="B90:B92"/>
    <mergeCell ref="C90:C92"/>
    <mergeCell ref="K90:K92"/>
    <mergeCell ref="P90:P92"/>
    <mergeCell ref="O94:O96"/>
    <mergeCell ref="N88:N89"/>
    <mergeCell ref="N94:N96"/>
    <mergeCell ref="L90:L92"/>
    <mergeCell ref="L88:L89"/>
    <mergeCell ref="M88:M89"/>
    <mergeCell ref="A63:A65"/>
    <mergeCell ref="B63:B65"/>
    <mergeCell ref="C63:C65"/>
    <mergeCell ref="K63:K65"/>
    <mergeCell ref="P63:P65"/>
    <mergeCell ref="A60:A62"/>
    <mergeCell ref="B60:B62"/>
    <mergeCell ref="C60:C62"/>
    <mergeCell ref="K60:K62"/>
    <mergeCell ref="N60:N62"/>
    <mergeCell ref="J166:J169"/>
    <mergeCell ref="J120:J121"/>
    <mergeCell ref="J123:J126"/>
    <mergeCell ref="K140:K142"/>
    <mergeCell ref="K166:K169"/>
    <mergeCell ref="J54:J72"/>
    <mergeCell ref="K73:K74"/>
    <mergeCell ref="A162:A164"/>
    <mergeCell ref="B162:B164"/>
    <mergeCell ref="C162:C164"/>
    <mergeCell ref="K162:K164"/>
    <mergeCell ref="K143:K145"/>
    <mergeCell ref="J162:J164"/>
    <mergeCell ref="J135:J145"/>
    <mergeCell ref="A135:A136"/>
    <mergeCell ref="B135:B136"/>
    <mergeCell ref="C135:C136"/>
    <mergeCell ref="K135:K136"/>
    <mergeCell ref="B140:B142"/>
    <mergeCell ref="C140:C142"/>
    <mergeCell ref="K165:P165"/>
    <mergeCell ref="P143:P145"/>
    <mergeCell ref="P140:P142"/>
    <mergeCell ref="P135:P136"/>
    <mergeCell ref="K171:P171"/>
    <mergeCell ref="P20:P21"/>
    <mergeCell ref="P22:P23"/>
    <mergeCell ref="K110:P110"/>
    <mergeCell ref="P75:P76"/>
    <mergeCell ref="K93:P93"/>
    <mergeCell ref="P166:P169"/>
    <mergeCell ref="N166:N169"/>
    <mergeCell ref="O166:O169"/>
    <mergeCell ref="N162:N164"/>
    <mergeCell ref="O162:O164"/>
    <mergeCell ref="L143:L145"/>
    <mergeCell ref="L162:L164"/>
    <mergeCell ref="L166:L169"/>
    <mergeCell ref="N143:N145"/>
    <mergeCell ref="O143:O145"/>
    <mergeCell ref="M143:M145"/>
    <mergeCell ref="M166:M169"/>
    <mergeCell ref="M162:M164"/>
    <mergeCell ref="P73:P74"/>
    <mergeCell ref="K103:K105"/>
    <mergeCell ref="P47:P51"/>
    <mergeCell ref="P29:P30"/>
    <mergeCell ref="P162:P164"/>
    <mergeCell ref="P103:P105"/>
    <mergeCell ref="P52:P53"/>
    <mergeCell ref="K52:K53"/>
    <mergeCell ref="K68:K70"/>
    <mergeCell ref="P68:P70"/>
    <mergeCell ref="M60:M62"/>
    <mergeCell ref="L140:L142"/>
    <mergeCell ref="M140:M142"/>
    <mergeCell ref="P117:P118"/>
    <mergeCell ref="O90:O92"/>
    <mergeCell ref="P81:P82"/>
    <mergeCell ref="L86:L87"/>
    <mergeCell ref="M86:M87"/>
    <mergeCell ref="N86:N87"/>
    <mergeCell ref="O86:O87"/>
    <mergeCell ref="P71:P72"/>
    <mergeCell ref="M73:M74"/>
    <mergeCell ref="N73:N74"/>
    <mergeCell ref="L71:L72"/>
    <mergeCell ref="M71:M72"/>
    <mergeCell ref="N71:N72"/>
    <mergeCell ref="O71:O72"/>
    <mergeCell ref="N75:N76"/>
    <mergeCell ref="O73:O74"/>
  </mergeCells>
  <phoneticPr fontId="17" type="noConversion"/>
  <conditionalFormatting sqref="E17:G17">
    <cfRule type="dataBar" priority="39">
      <dataBar>
        <cfvo type="min"/>
        <cfvo type="max"/>
        <color rgb="FF638EC6"/>
      </dataBar>
      <extLst>
        <ext xmlns:x14="http://schemas.microsoft.com/office/spreadsheetml/2009/9/main" uri="{B025F937-C7B1-47D3-B67F-A62EFF666E3E}">
          <x14:id>{C20A7DB6-DD22-4A69-B5BA-F988CAFD3D8F}</x14:id>
        </ext>
      </extLst>
    </cfRule>
  </conditionalFormatting>
  <conditionalFormatting sqref="H18">
    <cfRule type="dataBar" priority="42">
      <dataBar>
        <cfvo type="min"/>
        <cfvo type="max"/>
        <color rgb="FF638EC6"/>
      </dataBar>
      <extLst>
        <ext xmlns:x14="http://schemas.microsoft.com/office/spreadsheetml/2009/9/main" uri="{B025F937-C7B1-47D3-B67F-A62EFF666E3E}">
          <x14:id>{FDA0D415-FDFD-42FC-8E4B-A493A892B18A}</x14:id>
        </ext>
      </extLst>
    </cfRule>
  </conditionalFormatting>
  <conditionalFormatting sqref="M17:N17 H17:K17">
    <cfRule type="dataBar" priority="43">
      <dataBar>
        <cfvo type="min"/>
        <cfvo type="max"/>
        <color rgb="FF638EC6"/>
      </dataBar>
      <extLst>
        <ext xmlns:x14="http://schemas.microsoft.com/office/spreadsheetml/2009/9/main" uri="{B025F937-C7B1-47D3-B67F-A62EFF666E3E}">
          <x14:id>{DCB5C597-70A0-4956-A0D6-544419C84697}</x14:id>
        </ext>
      </extLst>
    </cfRule>
  </conditionalFormatting>
  <pageMargins left="0.7" right="0.7" top="0.75" bottom="0.75" header="0.3" footer="0.3"/>
  <pageSetup paperSize="8" scale="60"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C20A7DB6-DD22-4A69-B5BA-F988CAFD3D8F}">
            <x14:dataBar minLength="0" maxLength="100" border="1" negativeBarBorderColorSameAsPositive="0">
              <x14:cfvo type="autoMin"/>
              <x14:cfvo type="autoMax"/>
              <x14:borderColor rgb="FF638EC6"/>
              <x14:negativeFillColor rgb="FFFF0000"/>
              <x14:negativeBorderColor rgb="FFFF0000"/>
              <x14:axisColor rgb="FF000000"/>
            </x14:dataBar>
          </x14:cfRule>
          <xm:sqref>E17:G17</xm:sqref>
        </x14:conditionalFormatting>
        <x14:conditionalFormatting xmlns:xm="http://schemas.microsoft.com/office/excel/2006/main">
          <x14:cfRule type="dataBar" id="{FDA0D415-FDFD-42FC-8E4B-A493A892B18A}">
            <x14:dataBar minLength="0" maxLength="100" border="1" negativeBarBorderColorSameAsPositive="0">
              <x14:cfvo type="autoMin"/>
              <x14:cfvo type="autoMax"/>
              <x14:borderColor rgb="FF638EC6"/>
              <x14:negativeFillColor rgb="FFFF0000"/>
              <x14:negativeBorderColor rgb="FFFF0000"/>
              <x14:axisColor rgb="FF000000"/>
            </x14:dataBar>
          </x14:cfRule>
          <xm:sqref>H18</xm:sqref>
        </x14:conditionalFormatting>
        <x14:conditionalFormatting xmlns:xm="http://schemas.microsoft.com/office/excel/2006/main">
          <x14:cfRule type="dataBar" id="{DCB5C597-70A0-4956-A0D6-544419C84697}">
            <x14:dataBar minLength="0" maxLength="100" border="1" negativeBarBorderColorSameAsPositive="0">
              <x14:cfvo type="autoMin"/>
              <x14:cfvo type="autoMax"/>
              <x14:borderColor rgb="FF638EC6"/>
              <x14:negativeFillColor rgb="FFFF0000"/>
              <x14:negativeBorderColor rgb="FFFF0000"/>
              <x14:axisColor rgb="FF000000"/>
            </x14:dataBar>
          </x14:cfRule>
          <xm:sqref>M17:N17 H17:K17</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9E7FE-B2C4-481E-AFB2-F5535D568119}">
  <sheetPr codeName="Lapas9"/>
  <dimension ref="A1:P1337"/>
  <sheetViews>
    <sheetView topLeftCell="G219" zoomScale="110" zoomScaleNormal="110" workbookViewId="0">
      <selection activeCell="K220" sqref="K220:K223"/>
    </sheetView>
  </sheetViews>
  <sheetFormatPr defaultColWidth="9.15234375" defaultRowHeight="10.3"/>
  <cols>
    <col min="1" max="1" width="14.69140625" style="400" customWidth="1"/>
    <col min="2" max="2" width="40.3046875" style="400" customWidth="1"/>
    <col min="3" max="3" width="4.3046875" style="400" customWidth="1"/>
    <col min="4" max="4" width="7.3046875" style="400" customWidth="1"/>
    <col min="5" max="6" width="13.3828125" style="404" customWidth="1"/>
    <col min="7" max="7" width="14.84375" style="404" customWidth="1"/>
    <col min="8" max="8" width="13" style="404" customWidth="1"/>
    <col min="9" max="9" width="19.53515625" style="400" hidden="1" customWidth="1"/>
    <col min="10" max="10" width="11.84375" style="400" customWidth="1"/>
    <col min="11" max="11" width="78.3828125" style="1505" customWidth="1"/>
    <col min="12" max="12" width="12.84375" style="400" customWidth="1"/>
    <col min="13" max="13" width="37.53515625" style="400" customWidth="1"/>
    <col min="14" max="14" width="17.3046875" style="419" customWidth="1"/>
    <col min="15" max="15" width="15.3046875" style="419" customWidth="1"/>
    <col min="16" max="16" width="14.69140625" style="400" customWidth="1"/>
    <col min="17" max="16384" width="9.15234375" style="400"/>
  </cols>
  <sheetData>
    <row r="1" spans="1:16" ht="16.95" customHeight="1">
      <c r="A1" s="427" t="s">
        <v>2141</v>
      </c>
      <c r="B1" s="427"/>
      <c r="C1" s="425"/>
      <c r="D1" s="425"/>
      <c r="E1" s="425"/>
      <c r="F1" s="425"/>
      <c r="G1" s="425"/>
      <c r="H1" s="425"/>
      <c r="I1" s="425"/>
      <c r="J1" s="425"/>
      <c r="K1" s="1489"/>
      <c r="L1" s="425"/>
      <c r="M1" s="425"/>
      <c r="N1" s="431"/>
      <c r="O1" s="431"/>
    </row>
    <row r="2" spans="1:16" ht="52.95" customHeight="1">
      <c r="A2" s="1573" t="s">
        <v>2618</v>
      </c>
      <c r="B2" s="1739"/>
      <c r="C2" s="1739"/>
      <c r="D2" s="1739"/>
      <c r="E2" s="1739"/>
      <c r="F2" s="1739"/>
      <c r="G2" s="1739"/>
      <c r="H2" s="1739"/>
      <c r="I2" s="1739"/>
      <c r="J2" s="1739"/>
      <c r="K2" s="1739"/>
      <c r="L2" s="1739"/>
      <c r="M2" s="1739"/>
      <c r="N2" s="1739"/>
      <c r="O2" s="1739"/>
    </row>
    <row r="3" spans="1:16" s="425" customFormat="1" ht="11.6">
      <c r="A3" s="425" t="str">
        <f>A15</f>
        <v>02.01.01. (T)</v>
      </c>
      <c r="B3" s="425" t="str">
        <f>B15</f>
        <v>Sudaryti sąlygas  ugdyti vaikus ikimokyklinėse, bendrojo lavinimosi ir neformalaus švietimo įstaigose pagal patvirtintas ugdymo programas, teikti pedagoginę, psichologinę, metodinę, aprūpinimo transportu ir kitą pagalbą mokiniams, mokytojams ir mokykloms</v>
      </c>
      <c r="K3" s="1489"/>
      <c r="N3" s="431"/>
      <c r="O3" s="431"/>
    </row>
    <row r="4" spans="1:16" s="425" customFormat="1" ht="11.6">
      <c r="A4" s="425" t="str">
        <f>A158</f>
        <v>02.01.02. (T)</v>
      </c>
      <c r="B4" s="1851" t="str">
        <f>B158</f>
        <v>Organizuoti renginius, turinčius  įtakos ugdymo proceso kokybei, skirtus tęstiniam mokymuisi</v>
      </c>
      <c r="C4" s="1851"/>
      <c r="D4" s="1851"/>
      <c r="E4" s="1851"/>
      <c r="F4" s="1851"/>
      <c r="G4" s="1851"/>
      <c r="H4" s="1851"/>
      <c r="I4" s="1851"/>
      <c r="J4" s="1851"/>
      <c r="K4" s="1851"/>
      <c r="L4" s="1851"/>
      <c r="M4" s="1851"/>
      <c r="N4" s="431"/>
      <c r="O4" s="431"/>
    </row>
    <row r="5" spans="1:16" s="425" customFormat="1" ht="11.6">
      <c r="A5" s="426" t="str">
        <f>A219</f>
        <v>02.01.03. (P)</v>
      </c>
      <c r="B5" s="1851" t="str">
        <f>B219</f>
        <v>Sukurti įtraukias, tinklaveiką ir 
socialines inovacijas skatinančias, kiekvieno mokinio geresnius pasiekimus lemiančias ir šiuolaikiškas kokybiško ugdymo(si) sąlygas</v>
      </c>
      <c r="C5" s="1851"/>
      <c r="D5" s="1851"/>
      <c r="E5" s="1851"/>
      <c r="F5" s="1851"/>
      <c r="G5" s="1851"/>
      <c r="H5" s="1851"/>
      <c r="I5" s="1851"/>
      <c r="J5" s="1851"/>
      <c r="K5" s="1851"/>
      <c r="L5" s="1851"/>
      <c r="M5" s="1851"/>
      <c r="N5" s="431"/>
      <c r="O5" s="431"/>
    </row>
    <row r="6" spans="1:16" s="425" customFormat="1" ht="11.6">
      <c r="A6" s="426" t="str">
        <f>A258</f>
        <v>02.02.01. (T)</v>
      </c>
      <c r="B6" s="425" t="str">
        <f>B258</f>
        <v>Didinti vaikų ir jaunimo socioedukacinių veiklų, socialiai prasmingo užimtumo, profesinio mokymo, saviraiškos bei švietimo pagalbos įvairovę ir prieinamumą</v>
      </c>
      <c r="K6" s="1489"/>
      <c r="N6" s="431"/>
      <c r="O6" s="431"/>
    </row>
    <row r="7" spans="1:16" ht="11.6">
      <c r="A7" s="425"/>
      <c r="B7" s="425"/>
      <c r="C7" s="425"/>
      <c r="D7" s="425"/>
      <c r="E7" s="425"/>
      <c r="F7" s="425"/>
      <c r="G7" s="425"/>
      <c r="H7" s="425"/>
      <c r="I7" s="425"/>
      <c r="J7" s="425"/>
      <c r="K7" s="1489"/>
      <c r="L7" s="425"/>
      <c r="M7" s="425"/>
      <c r="N7" s="431"/>
      <c r="O7" s="431"/>
    </row>
    <row r="8" spans="1:16" ht="10.95" customHeight="1">
      <c r="A8" s="1573"/>
      <c r="B8" s="1739"/>
      <c r="C8" s="1739"/>
      <c r="D8" s="1739"/>
      <c r="E8" s="1739"/>
      <c r="F8" s="1739"/>
      <c r="G8" s="1739"/>
      <c r="H8" s="1739"/>
      <c r="I8" s="1739"/>
      <c r="J8" s="1739"/>
      <c r="K8" s="1739"/>
      <c r="L8" s="1739"/>
      <c r="M8" s="1739"/>
      <c r="N8" s="1739"/>
      <c r="O8" s="1739"/>
    </row>
    <row r="9" spans="1:16" ht="11.5" customHeight="1">
      <c r="A9" s="425" t="s">
        <v>2853</v>
      </c>
      <c r="B9" s="425"/>
      <c r="C9" s="425" t="s">
        <v>2889</v>
      </c>
      <c r="D9" s="425"/>
      <c r="E9" s="425"/>
      <c r="F9" s="425"/>
      <c r="G9" s="425"/>
      <c r="H9" s="425"/>
      <c r="I9" s="425"/>
      <c r="J9" s="425"/>
      <c r="K9" s="1489"/>
      <c r="L9" s="425"/>
      <c r="M9" s="425"/>
      <c r="N9" s="431"/>
      <c r="O9" s="431"/>
    </row>
    <row r="10" spans="1:16" ht="24" customHeight="1">
      <c r="A10" s="1573" t="s">
        <v>2743</v>
      </c>
      <c r="B10" s="1573"/>
      <c r="C10" s="1573"/>
      <c r="D10" s="1573"/>
      <c r="E10" s="1573"/>
      <c r="F10" s="1573"/>
      <c r="G10" s="1573"/>
      <c r="H10" s="1573"/>
      <c r="I10" s="1573"/>
      <c r="J10" s="1573"/>
      <c r="K10" s="1573"/>
      <c r="L10" s="425"/>
      <c r="M10" s="425"/>
      <c r="N10" s="431"/>
      <c r="O10" s="431"/>
    </row>
    <row r="11" spans="1:16" ht="11.6">
      <c r="A11" s="427"/>
      <c r="B11" s="427"/>
      <c r="C11" s="425"/>
      <c r="D11" s="425"/>
      <c r="E11" s="425"/>
      <c r="F11" s="425"/>
      <c r="G11" s="425"/>
      <c r="H11" s="425"/>
      <c r="I11" s="425"/>
      <c r="J11" s="425"/>
      <c r="K11" s="1489"/>
      <c r="L11" s="425"/>
      <c r="M11" s="425"/>
      <c r="N11" s="431"/>
      <c r="O11" s="431"/>
    </row>
    <row r="12" spans="1:16" ht="11.5" customHeight="1">
      <c r="A12" s="425" t="s">
        <v>3695</v>
      </c>
      <c r="B12" s="622"/>
      <c r="C12" s="622"/>
      <c r="D12" s="622"/>
      <c r="E12" s="622"/>
      <c r="F12" s="622"/>
      <c r="G12" s="622"/>
      <c r="H12" s="622"/>
      <c r="I12" s="622"/>
      <c r="J12" s="621"/>
      <c r="K12" s="1489"/>
      <c r="L12" s="1852"/>
      <c r="M12" s="1852"/>
      <c r="N12" s="1852"/>
      <c r="O12" s="1852"/>
    </row>
    <row r="13" spans="1:16" s="487" customFormat="1" ht="42.75" customHeight="1">
      <c r="A13" s="1846" t="s">
        <v>994</v>
      </c>
      <c r="B13" s="1846" t="s">
        <v>1933</v>
      </c>
      <c r="C13" s="1742" t="s">
        <v>1318</v>
      </c>
      <c r="D13" s="1742" t="s">
        <v>1319</v>
      </c>
      <c r="E13" s="1784" t="s">
        <v>2857</v>
      </c>
      <c r="F13" s="1784" t="s">
        <v>2856</v>
      </c>
      <c r="G13" s="1784" t="s">
        <v>2858</v>
      </c>
      <c r="H13" s="1784" t="s">
        <v>2859</v>
      </c>
      <c r="I13" s="1853" t="s">
        <v>2080</v>
      </c>
      <c r="J13" s="1847" t="s">
        <v>1969</v>
      </c>
      <c r="K13" s="1846" t="s">
        <v>2734</v>
      </c>
      <c r="L13" s="1680" t="s">
        <v>2861</v>
      </c>
      <c r="M13" s="1680" t="s">
        <v>2864</v>
      </c>
      <c r="N13" s="1680" t="s">
        <v>2860</v>
      </c>
      <c r="O13" s="1680"/>
      <c r="P13" s="1680" t="s">
        <v>3733</v>
      </c>
    </row>
    <row r="14" spans="1:16" s="487" customFormat="1" ht="72.75" customHeight="1">
      <c r="A14" s="1846"/>
      <c r="B14" s="1846"/>
      <c r="C14" s="1743"/>
      <c r="D14" s="1743"/>
      <c r="E14" s="1785"/>
      <c r="F14" s="1785"/>
      <c r="G14" s="1785"/>
      <c r="H14" s="1785"/>
      <c r="I14" s="1854"/>
      <c r="J14" s="1848"/>
      <c r="K14" s="1846"/>
      <c r="L14" s="1680"/>
      <c r="M14" s="1680"/>
      <c r="N14" s="463" t="s">
        <v>2862</v>
      </c>
      <c r="O14" s="463" t="s">
        <v>2863</v>
      </c>
      <c r="P14" s="1680"/>
    </row>
    <row r="15" spans="1:16" s="497" customFormat="1" ht="74.25" customHeight="1">
      <c r="A15" s="496" t="s">
        <v>1971</v>
      </c>
      <c r="B15" s="496" t="s">
        <v>2507</v>
      </c>
      <c r="C15" s="496"/>
      <c r="D15" s="496"/>
      <c r="E15" s="496">
        <f>SUM(E21,E82)</f>
        <v>14896.321999999998</v>
      </c>
      <c r="F15" s="496">
        <f t="shared" ref="F15:G15" si="0">SUM(F21,F82)</f>
        <v>15101.154999999999</v>
      </c>
      <c r="G15" s="496">
        <f t="shared" si="0"/>
        <v>14882.120999999999</v>
      </c>
      <c r="H15" s="692">
        <f>G15/F15</f>
        <v>0.985495546532699</v>
      </c>
      <c r="I15" s="691">
        <f>SUM(I21,I82)</f>
        <v>15342.564999999999</v>
      </c>
      <c r="J15" s="496" t="s">
        <v>1097</v>
      </c>
      <c r="K15" s="1506"/>
      <c r="L15" s="693"/>
      <c r="M15" s="693"/>
      <c r="N15" s="693"/>
      <c r="O15" s="1754"/>
      <c r="P15" s="1755"/>
    </row>
    <row r="16" spans="1:16" ht="32.25" customHeight="1">
      <c r="A16" s="1766" t="s">
        <v>1954</v>
      </c>
      <c r="B16" s="1768" t="s">
        <v>1340</v>
      </c>
      <c r="C16" s="1774" t="s">
        <v>1325</v>
      </c>
      <c r="D16" s="848" t="s">
        <v>668</v>
      </c>
      <c r="E16" s="734">
        <f>SUM(E22,E26,E31,E35,E40,E44,E49,E53,E58,E64,E69,E73)</f>
        <v>5936.5099999999993</v>
      </c>
      <c r="F16" s="734">
        <f>SUM(F22,F26,F31,F35,F40,F44,F49,F53,F58,F64,F69,F73)</f>
        <v>4337.6309999999994</v>
      </c>
      <c r="G16" s="734">
        <f>SUM(G22,G26,G31,G35,G40,G44,G49,G53,G58,G64,G69,G73)</f>
        <v>4166.3020000000006</v>
      </c>
      <c r="H16" s="816">
        <f>G16/F16</f>
        <v>0.96050171164859366</v>
      </c>
      <c r="I16" s="734">
        <f t="shared" ref="I16:I17" si="1">SUM(I22,I26,I31,I35,I40,I44,I49,I53,I58,I64,I69,I73)</f>
        <v>5117</v>
      </c>
      <c r="J16" s="1762" t="s">
        <v>2201</v>
      </c>
      <c r="K16" s="1699" t="s">
        <v>3756</v>
      </c>
      <c r="L16" s="1646" t="s">
        <v>628</v>
      </c>
      <c r="M16" s="1637" t="s">
        <v>3757</v>
      </c>
      <c r="N16" s="1637" t="s">
        <v>1649</v>
      </c>
      <c r="O16" s="1637" t="s">
        <v>1649</v>
      </c>
      <c r="P16" s="1643" t="s">
        <v>3564</v>
      </c>
    </row>
    <row r="17" spans="1:16" ht="24" customHeight="1">
      <c r="A17" s="1766"/>
      <c r="B17" s="1768"/>
      <c r="C17" s="1774"/>
      <c r="D17" s="849" t="s">
        <v>1324</v>
      </c>
      <c r="E17" s="734">
        <f>SUM(E23,E27,E32,E36,E41,E45,E50,E54,E59,E65,E70,E74)</f>
        <v>774.452</v>
      </c>
      <c r="F17" s="734">
        <f>SUM(F23,F27,F32,F41,F45,F50,F54,F59,F65,F70,F74,F36,)</f>
        <v>775.68999999999994</v>
      </c>
      <c r="G17" s="734">
        <f>SUM(G23,G27,G32,G41,G45,G50,G54,G59,G65,G70,G74,G36,)</f>
        <v>747.50900000000001</v>
      </c>
      <c r="H17" s="816">
        <f t="shared" ref="H17:H20" si="2">G17/F17</f>
        <v>0.96366976498343415</v>
      </c>
      <c r="I17" s="734">
        <f t="shared" si="1"/>
        <v>810.80000000000018</v>
      </c>
      <c r="J17" s="1763"/>
      <c r="K17" s="1699"/>
      <c r="L17" s="1646"/>
      <c r="M17" s="1638"/>
      <c r="N17" s="1638"/>
      <c r="O17" s="1638"/>
      <c r="P17" s="1644"/>
    </row>
    <row r="18" spans="1:16" ht="24" hidden="1" customHeight="1">
      <c r="A18" s="1766"/>
      <c r="B18" s="1768"/>
      <c r="C18" s="1774"/>
      <c r="D18" s="849" t="s">
        <v>2822</v>
      </c>
      <c r="E18" s="734"/>
      <c r="F18" s="734"/>
      <c r="G18" s="734"/>
      <c r="H18" s="816" t="e">
        <f t="shared" si="2"/>
        <v>#DIV/0!</v>
      </c>
      <c r="I18" s="734">
        <f>SUM(I28,I37,I46,I55,I60,I66,)</f>
        <v>13.554000000000002</v>
      </c>
      <c r="J18" s="1763"/>
      <c r="K18" s="1699"/>
      <c r="L18" s="1646"/>
      <c r="M18" s="1638"/>
      <c r="N18" s="1638"/>
      <c r="O18" s="1638"/>
      <c r="P18" s="1644"/>
    </row>
    <row r="19" spans="1:16" ht="27" customHeight="1">
      <c r="A19" s="1766"/>
      <c r="B19" s="1768"/>
      <c r="C19" s="1774"/>
      <c r="D19" s="849" t="s">
        <v>1349</v>
      </c>
      <c r="E19" s="734">
        <f>SUM(E24,E29,E33,E38,E42,E47,E51,E56,E61,E67,E71,E75)</f>
        <v>35</v>
      </c>
      <c r="F19" s="734">
        <f>SUM(F61)</f>
        <v>35</v>
      </c>
      <c r="G19" s="734">
        <f>SUM(G61)</f>
        <v>35</v>
      </c>
      <c r="H19" s="816">
        <f t="shared" si="2"/>
        <v>1</v>
      </c>
      <c r="I19" s="734">
        <v>0</v>
      </c>
      <c r="J19" s="1763"/>
      <c r="K19" s="1699"/>
      <c r="L19" s="1646"/>
      <c r="M19" s="1638"/>
      <c r="N19" s="1638"/>
      <c r="O19" s="1638"/>
      <c r="P19" s="1644"/>
    </row>
    <row r="20" spans="1:16" ht="27.75" customHeight="1">
      <c r="A20" s="1766"/>
      <c r="B20" s="1768"/>
      <c r="C20" s="1774"/>
      <c r="D20" s="849" t="s">
        <v>976</v>
      </c>
      <c r="E20" s="701"/>
      <c r="F20" s="701">
        <f>SUM(F24,F29,F33,F38,F62,F67,)</f>
        <v>33.464999999999996</v>
      </c>
      <c r="G20" s="701">
        <f>SUM(G24,G29,G33,G38,G62,G67,G51,G56,G71,G75,)</f>
        <v>26.838000000000001</v>
      </c>
      <c r="H20" s="816">
        <f t="shared" si="2"/>
        <v>0.80197220977140304</v>
      </c>
      <c r="I20" s="701">
        <f t="shared" ref="I20" si="3">I75</f>
        <v>0.33300000000000002</v>
      </c>
      <c r="J20" s="1763"/>
      <c r="K20" s="1699"/>
      <c r="L20" s="1646"/>
      <c r="M20" s="1638"/>
      <c r="N20" s="1638"/>
      <c r="O20" s="1638"/>
      <c r="P20" s="1644"/>
    </row>
    <row r="21" spans="1:16" ht="32.25" customHeight="1">
      <c r="A21" s="1767"/>
      <c r="B21" s="1769"/>
      <c r="C21" s="1775"/>
      <c r="D21" s="850" t="s">
        <v>1348</v>
      </c>
      <c r="E21" s="706">
        <f>SUM(E16:E20)</f>
        <v>6745.9619999999995</v>
      </c>
      <c r="F21" s="706">
        <f>SUM(F16:F20)</f>
        <v>5181.7859999999991</v>
      </c>
      <c r="G21" s="706">
        <f>SUM(G16:G20)</f>
        <v>4975.6490000000003</v>
      </c>
      <c r="H21" s="813">
        <f>G21/F21</f>
        <v>0.96021892837720457</v>
      </c>
      <c r="I21" s="851">
        <f>SUM(I16:I20)</f>
        <v>5941.6869999999999</v>
      </c>
      <c r="J21" s="1763"/>
      <c r="K21" s="1699"/>
      <c r="L21" s="1646"/>
      <c r="M21" s="1638"/>
      <c r="N21" s="1638"/>
      <c r="O21" s="1638"/>
      <c r="P21" s="1644"/>
    </row>
    <row r="22" spans="1:16" ht="21.75" hidden="1" customHeight="1">
      <c r="A22" s="1776"/>
      <c r="B22" s="1770" t="s">
        <v>1341</v>
      </c>
      <c r="C22" s="1758" t="s">
        <v>1719</v>
      </c>
      <c r="D22" s="854" t="s">
        <v>668</v>
      </c>
      <c r="E22" s="855">
        <v>482.56</v>
      </c>
      <c r="F22" s="855">
        <v>383.16</v>
      </c>
      <c r="G22" s="855">
        <v>371.31200000000001</v>
      </c>
      <c r="H22" s="856">
        <f t="shared" ref="H22:H82" si="4">G22/F22</f>
        <v>0.96907819187806654</v>
      </c>
      <c r="I22" s="857">
        <f>506.28-0.08</f>
        <v>506.2</v>
      </c>
      <c r="J22" s="1763"/>
      <c r="K22" s="1759"/>
      <c r="L22" s="1817"/>
      <c r="M22" s="1638"/>
      <c r="N22" s="1638"/>
      <c r="O22" s="1638"/>
      <c r="P22" s="1644"/>
    </row>
    <row r="23" spans="1:16" ht="18.75" hidden="1" customHeight="1">
      <c r="A23" s="1777"/>
      <c r="B23" s="1771"/>
      <c r="C23" s="1758"/>
      <c r="D23" s="854" t="s">
        <v>1324</v>
      </c>
      <c r="E23" s="855">
        <f>92.3+0.865</f>
        <v>93.164999999999992</v>
      </c>
      <c r="F23" s="855">
        <v>101.27500000000001</v>
      </c>
      <c r="G23" s="855">
        <v>100.509</v>
      </c>
      <c r="H23" s="856">
        <f t="shared" si="4"/>
        <v>0.9924364354480375</v>
      </c>
      <c r="I23" s="858">
        <v>98.4</v>
      </c>
      <c r="J23" s="1763"/>
      <c r="K23" s="1759"/>
      <c r="L23" s="1817"/>
      <c r="M23" s="1638"/>
      <c r="N23" s="1638"/>
      <c r="O23" s="1638"/>
      <c r="P23" s="1644"/>
    </row>
    <row r="24" spans="1:16" ht="20.25" hidden="1" customHeight="1">
      <c r="A24" s="1777"/>
      <c r="B24" s="1771"/>
      <c r="C24" s="1758"/>
      <c r="D24" s="854" t="s">
        <v>976</v>
      </c>
      <c r="E24" s="537"/>
      <c r="F24" s="859">
        <v>0.47799999999999998</v>
      </c>
      <c r="G24" s="859">
        <v>0.47799999999999998</v>
      </c>
      <c r="H24" s="856">
        <f t="shared" si="4"/>
        <v>1</v>
      </c>
      <c r="I24" s="858"/>
      <c r="J24" s="1763"/>
      <c r="K24" s="1759"/>
      <c r="L24" s="1817"/>
      <c r="M24" s="1638"/>
      <c r="N24" s="1638"/>
      <c r="O24" s="1638"/>
      <c r="P24" s="1644"/>
    </row>
    <row r="25" spans="1:16" ht="28.5" hidden="1" customHeight="1">
      <c r="A25" s="1777"/>
      <c r="B25" s="1772"/>
      <c r="C25" s="1758"/>
      <c r="D25" s="860" t="s">
        <v>1348</v>
      </c>
      <c r="E25" s="861">
        <f>SUM(E22:E24)</f>
        <v>575.72500000000002</v>
      </c>
      <c r="F25" s="861">
        <f>SUM(F22:F24)</f>
        <v>484.91300000000007</v>
      </c>
      <c r="G25" s="861">
        <f>SUM(G22:G24)</f>
        <v>472.29900000000004</v>
      </c>
      <c r="H25" s="862">
        <f t="shared" si="4"/>
        <v>0.97398708634332343</v>
      </c>
      <c r="I25" s="863">
        <f>SUM(I22:I24)</f>
        <v>604.6</v>
      </c>
      <c r="J25" s="1763"/>
      <c r="K25" s="1493"/>
      <c r="L25" s="720"/>
      <c r="M25" s="1638"/>
      <c r="N25" s="1638"/>
      <c r="O25" s="1638"/>
      <c r="P25" s="1644"/>
    </row>
    <row r="26" spans="1:16" ht="20.25" hidden="1" customHeight="1">
      <c r="A26" s="1777"/>
      <c r="B26" s="1773" t="s">
        <v>1342</v>
      </c>
      <c r="C26" s="1758" t="s">
        <v>1720</v>
      </c>
      <c r="D26" s="854" t="s">
        <v>668</v>
      </c>
      <c r="E26" s="537">
        <v>508.43</v>
      </c>
      <c r="F26" s="537">
        <v>403.59300000000002</v>
      </c>
      <c r="G26" s="537">
        <v>373.26299999999998</v>
      </c>
      <c r="H26" s="856">
        <f t="shared" si="4"/>
        <v>0.92485003456452408</v>
      </c>
      <c r="I26" s="864">
        <f>576.08-0.1</f>
        <v>575.98</v>
      </c>
      <c r="J26" s="1763"/>
      <c r="K26" s="1759"/>
      <c r="L26" s="1817"/>
      <c r="M26" s="1638"/>
      <c r="N26" s="1638"/>
      <c r="O26" s="1638"/>
      <c r="P26" s="1644"/>
    </row>
    <row r="27" spans="1:16" ht="20.149999999999999" hidden="1" customHeight="1">
      <c r="A27" s="1777"/>
      <c r="B27" s="1771"/>
      <c r="C27" s="1758"/>
      <c r="D27" s="854" t="s">
        <v>1324</v>
      </c>
      <c r="E27" s="537">
        <f>122.2+7.272</f>
        <v>129.47200000000001</v>
      </c>
      <c r="F27" s="537">
        <v>139.572</v>
      </c>
      <c r="G27" s="537">
        <v>125.77200000000001</v>
      </c>
      <c r="H27" s="856">
        <f t="shared" si="4"/>
        <v>0.90112630040409258</v>
      </c>
      <c r="I27" s="863">
        <f>125.9</f>
        <v>125.9</v>
      </c>
      <c r="J27" s="1763"/>
      <c r="K27" s="1760"/>
      <c r="L27" s="1817"/>
      <c r="M27" s="1638"/>
      <c r="N27" s="1638"/>
      <c r="O27" s="1638"/>
      <c r="P27" s="1644"/>
    </row>
    <row r="28" spans="1:16" ht="20.149999999999999" hidden="1" customHeight="1">
      <c r="A28" s="1777"/>
      <c r="B28" s="1771"/>
      <c r="C28" s="1758"/>
      <c r="D28" s="865" t="s">
        <v>2752</v>
      </c>
      <c r="E28" s="541"/>
      <c r="F28" s="541"/>
      <c r="G28" s="541"/>
      <c r="H28" s="856"/>
      <c r="I28" s="866">
        <v>9.6470000000000002</v>
      </c>
      <c r="J28" s="1763"/>
      <c r="K28" s="1760"/>
      <c r="L28" s="1817"/>
      <c r="M28" s="1638"/>
      <c r="N28" s="1638"/>
      <c r="O28" s="1638"/>
      <c r="P28" s="1644"/>
    </row>
    <row r="29" spans="1:16" ht="20.149999999999999" hidden="1" customHeight="1">
      <c r="A29" s="1777"/>
      <c r="B29" s="1771"/>
      <c r="C29" s="1758"/>
      <c r="D29" s="854" t="s">
        <v>976</v>
      </c>
      <c r="E29" s="537"/>
      <c r="F29" s="859">
        <v>1.7090000000000001</v>
      </c>
      <c r="G29" s="859">
        <v>1.228</v>
      </c>
      <c r="H29" s="856"/>
      <c r="I29" s="858"/>
      <c r="J29" s="1763"/>
      <c r="K29" s="1760"/>
      <c r="L29" s="1817"/>
      <c r="M29" s="1638"/>
      <c r="N29" s="1638"/>
      <c r="O29" s="1638"/>
      <c r="P29" s="1644"/>
    </row>
    <row r="30" spans="1:16" ht="27" hidden="1" customHeight="1">
      <c r="A30" s="1777"/>
      <c r="B30" s="1772"/>
      <c r="C30" s="1758"/>
      <c r="D30" s="860" t="s">
        <v>1348</v>
      </c>
      <c r="E30" s="861">
        <f>SUM(E26:E29)</f>
        <v>637.90200000000004</v>
      </c>
      <c r="F30" s="861">
        <f>SUM(F26:F29)</f>
        <v>544.87399999999991</v>
      </c>
      <c r="G30" s="861">
        <f>SUM(G26:G29)</f>
        <v>500.26299999999998</v>
      </c>
      <c r="H30" s="862">
        <f t="shared" si="4"/>
        <v>0.91812602546643818</v>
      </c>
      <c r="I30" s="863">
        <f t="shared" ref="I30" si="5">SUM(I26:I29)</f>
        <v>711.52700000000004</v>
      </c>
      <c r="J30" s="1763"/>
      <c r="K30" s="1494"/>
      <c r="L30" s="720"/>
      <c r="M30" s="1638"/>
      <c r="N30" s="1638"/>
      <c r="O30" s="1638"/>
      <c r="P30" s="1644"/>
    </row>
    <row r="31" spans="1:16" ht="20.149999999999999" hidden="1" customHeight="1">
      <c r="A31" s="1777"/>
      <c r="B31" s="1773" t="s">
        <v>1343</v>
      </c>
      <c r="C31" s="1758" t="s">
        <v>1721</v>
      </c>
      <c r="D31" s="854" t="s">
        <v>668</v>
      </c>
      <c r="E31" s="537">
        <v>447.77</v>
      </c>
      <c r="F31" s="537">
        <v>349.30500000000001</v>
      </c>
      <c r="G31" s="537">
        <v>332.65699999999998</v>
      </c>
      <c r="H31" s="856">
        <f t="shared" si="4"/>
        <v>0.95233964586822395</v>
      </c>
      <c r="I31" s="864">
        <v>487.73</v>
      </c>
      <c r="J31" s="1763"/>
      <c r="K31" s="1759"/>
      <c r="L31" s="1761"/>
      <c r="M31" s="1638"/>
      <c r="N31" s="1638"/>
      <c r="O31" s="1638"/>
      <c r="P31" s="1644"/>
    </row>
    <row r="32" spans="1:16" ht="20.149999999999999" hidden="1" customHeight="1">
      <c r="A32" s="1777"/>
      <c r="B32" s="1771"/>
      <c r="C32" s="1758"/>
      <c r="D32" s="854" t="s">
        <v>1324</v>
      </c>
      <c r="E32" s="855">
        <f>96.7+2.28</f>
        <v>98.98</v>
      </c>
      <c r="F32" s="855">
        <v>107.89</v>
      </c>
      <c r="G32" s="855">
        <v>107.047</v>
      </c>
      <c r="H32" s="856">
        <f t="shared" si="4"/>
        <v>0.99218648623598105</v>
      </c>
      <c r="I32" s="863">
        <v>104</v>
      </c>
      <c r="J32" s="1763"/>
      <c r="K32" s="1760"/>
      <c r="L32" s="1761"/>
      <c r="M32" s="1638"/>
      <c r="N32" s="1638"/>
      <c r="O32" s="1638"/>
      <c r="P32" s="1644"/>
    </row>
    <row r="33" spans="1:16" ht="20.149999999999999" hidden="1" customHeight="1">
      <c r="A33" s="1777"/>
      <c r="B33" s="1771"/>
      <c r="C33" s="1758"/>
      <c r="D33" s="854" t="s">
        <v>976</v>
      </c>
      <c r="E33" s="537"/>
      <c r="F33" s="859">
        <v>1.1459999999999999</v>
      </c>
      <c r="G33" s="859">
        <v>1.7999999999999999E-2</v>
      </c>
      <c r="H33" s="856"/>
      <c r="I33" s="858"/>
      <c r="J33" s="1763"/>
      <c r="K33" s="1760"/>
      <c r="L33" s="1761"/>
      <c r="M33" s="1638"/>
      <c r="N33" s="1638"/>
      <c r="O33" s="1638"/>
      <c r="P33" s="1644"/>
    </row>
    <row r="34" spans="1:16" ht="20.149999999999999" hidden="1" customHeight="1">
      <c r="A34" s="1777"/>
      <c r="B34" s="1772"/>
      <c r="C34" s="1758"/>
      <c r="D34" s="860" t="s">
        <v>1348</v>
      </c>
      <c r="E34" s="861">
        <f>SUM(E31:E33)</f>
        <v>546.75</v>
      </c>
      <c r="F34" s="861">
        <f>SUM(F31:F33)</f>
        <v>458.34100000000001</v>
      </c>
      <c r="G34" s="861">
        <f>SUM(G31:G33)</f>
        <v>439.72199999999992</v>
      </c>
      <c r="H34" s="862">
        <f t="shared" si="4"/>
        <v>0.95937740677792283</v>
      </c>
      <c r="I34" s="863">
        <f t="shared" ref="I34" si="6">SUM(I31:I33)</f>
        <v>591.73</v>
      </c>
      <c r="J34" s="1763"/>
      <c r="K34" s="1760"/>
      <c r="L34" s="1761"/>
      <c r="M34" s="1638"/>
      <c r="N34" s="1638"/>
      <c r="O34" s="1638"/>
      <c r="P34" s="1644"/>
    </row>
    <row r="35" spans="1:16" ht="20.149999999999999" hidden="1" customHeight="1">
      <c r="A35" s="1777"/>
      <c r="B35" s="1773" t="s">
        <v>1370</v>
      </c>
      <c r="C35" s="1758" t="s">
        <v>1722</v>
      </c>
      <c r="D35" s="854" t="s">
        <v>668</v>
      </c>
      <c r="E35" s="537">
        <v>447.55</v>
      </c>
      <c r="F35" s="537">
        <v>352.666</v>
      </c>
      <c r="G35" s="855">
        <v>335.089</v>
      </c>
      <c r="H35" s="856">
        <f t="shared" si="4"/>
        <v>0.95015964113353713</v>
      </c>
      <c r="I35" s="864">
        <f>469.53-1</f>
        <v>468.53</v>
      </c>
      <c r="J35" s="1763"/>
      <c r="K35" s="1759"/>
      <c r="L35" s="1761"/>
      <c r="M35" s="1638"/>
      <c r="N35" s="1638"/>
      <c r="O35" s="1638"/>
      <c r="P35" s="1644"/>
    </row>
    <row r="36" spans="1:16" ht="20.149999999999999" hidden="1" customHeight="1">
      <c r="A36" s="1777"/>
      <c r="B36" s="1771"/>
      <c r="C36" s="1758"/>
      <c r="D36" s="854" t="s">
        <v>1324</v>
      </c>
      <c r="E36" s="855">
        <v>87.33</v>
      </c>
      <c r="F36" s="855">
        <v>87.33</v>
      </c>
      <c r="G36" s="855">
        <v>83.456999999999994</v>
      </c>
      <c r="H36" s="856">
        <f t="shared" si="4"/>
        <v>0.95565097904500163</v>
      </c>
      <c r="I36" s="863">
        <f>94.3</f>
        <v>94.3</v>
      </c>
      <c r="J36" s="1763"/>
      <c r="K36" s="1760"/>
      <c r="L36" s="1761"/>
      <c r="M36" s="1638"/>
      <c r="N36" s="1638"/>
      <c r="O36" s="1638"/>
      <c r="P36" s="1644"/>
    </row>
    <row r="37" spans="1:16" ht="20.149999999999999" hidden="1" customHeight="1">
      <c r="A37" s="1777"/>
      <c r="B37" s="1771"/>
      <c r="C37" s="1758"/>
      <c r="D37" s="865" t="s">
        <v>2752</v>
      </c>
      <c r="E37" s="867"/>
      <c r="F37" s="867"/>
      <c r="G37" s="868"/>
      <c r="H37" s="856"/>
      <c r="I37" s="866">
        <v>2.476</v>
      </c>
      <c r="J37" s="1763"/>
      <c r="K37" s="1760"/>
      <c r="L37" s="1761"/>
      <c r="M37" s="1638"/>
      <c r="N37" s="1638"/>
      <c r="O37" s="1638"/>
      <c r="P37" s="1644"/>
    </row>
    <row r="38" spans="1:16" ht="20.149999999999999" hidden="1" customHeight="1">
      <c r="A38" s="1777"/>
      <c r="B38" s="1771"/>
      <c r="C38" s="1758"/>
      <c r="D38" s="854" t="s">
        <v>976</v>
      </c>
      <c r="E38" s="537"/>
      <c r="F38" s="859">
        <v>0.56699999999999995</v>
      </c>
      <c r="G38" s="859">
        <v>0.56699999999999995</v>
      </c>
      <c r="H38" s="856"/>
      <c r="I38" s="858"/>
      <c r="J38" s="1763"/>
      <c r="K38" s="1760"/>
      <c r="L38" s="1761"/>
      <c r="M38" s="1638"/>
      <c r="N38" s="1638"/>
      <c r="O38" s="1638"/>
      <c r="P38" s="1644"/>
    </row>
    <row r="39" spans="1:16" ht="20.149999999999999" hidden="1" customHeight="1">
      <c r="A39" s="1777"/>
      <c r="B39" s="1772"/>
      <c r="C39" s="1758"/>
      <c r="D39" s="860" t="s">
        <v>1348</v>
      </c>
      <c r="E39" s="861">
        <f>SUM(E35:E38)</f>
        <v>534.88</v>
      </c>
      <c r="F39" s="861">
        <f>SUM(F35:F38)</f>
        <v>440.56299999999999</v>
      </c>
      <c r="G39" s="861">
        <f>SUM(G35:G38)</f>
        <v>419.113</v>
      </c>
      <c r="H39" s="862">
        <f t="shared" si="4"/>
        <v>0.95131229812762308</v>
      </c>
      <c r="I39" s="863">
        <f>SUM(I35:I38)</f>
        <v>565.30599999999993</v>
      </c>
      <c r="J39" s="1763"/>
      <c r="K39" s="1760"/>
      <c r="L39" s="1761"/>
      <c r="M39" s="1638"/>
      <c r="N39" s="1638"/>
      <c r="O39" s="1638"/>
      <c r="P39" s="1644"/>
    </row>
    <row r="40" spans="1:16" ht="20.149999999999999" hidden="1" customHeight="1">
      <c r="A40" s="1777"/>
      <c r="B40" s="1773" t="s">
        <v>1344</v>
      </c>
      <c r="C40" s="1758" t="s">
        <v>1723</v>
      </c>
      <c r="D40" s="854" t="s">
        <v>668</v>
      </c>
      <c r="E40" s="537">
        <v>323.60000000000002</v>
      </c>
      <c r="F40" s="537">
        <v>263.36</v>
      </c>
      <c r="G40" s="537">
        <v>250.79499999999999</v>
      </c>
      <c r="H40" s="856">
        <f t="shared" si="4"/>
        <v>0.95228964155528539</v>
      </c>
      <c r="I40" s="864">
        <f>351.52-0.2</f>
        <v>351.32</v>
      </c>
      <c r="J40" s="1763"/>
      <c r="K40" s="1759"/>
      <c r="L40" s="1761"/>
      <c r="M40" s="1638"/>
      <c r="N40" s="1638"/>
      <c r="O40" s="1638"/>
      <c r="P40" s="1644"/>
    </row>
    <row r="41" spans="1:16" ht="20.149999999999999" hidden="1" customHeight="1">
      <c r="A41" s="1777"/>
      <c r="B41" s="1771"/>
      <c r="C41" s="1758"/>
      <c r="D41" s="854" t="s">
        <v>1324</v>
      </c>
      <c r="E41" s="855">
        <f>45.5+0.153</f>
        <v>45.652999999999999</v>
      </c>
      <c r="F41" s="855">
        <v>44.103000000000002</v>
      </c>
      <c r="G41" s="855">
        <v>42.201000000000001</v>
      </c>
      <c r="H41" s="856">
        <f t="shared" si="4"/>
        <v>0.95687368206244472</v>
      </c>
      <c r="I41" s="863">
        <v>41.7</v>
      </c>
      <c r="J41" s="1763"/>
      <c r="K41" s="1760"/>
      <c r="L41" s="1761"/>
      <c r="M41" s="1638"/>
      <c r="N41" s="1638"/>
      <c r="O41" s="1638"/>
      <c r="P41" s="1644"/>
    </row>
    <row r="42" spans="1:16" ht="20.149999999999999" hidden="1" customHeight="1">
      <c r="A42" s="1777"/>
      <c r="B42" s="1771"/>
      <c r="C42" s="1758"/>
      <c r="D42" s="854" t="s">
        <v>976</v>
      </c>
      <c r="E42" s="537"/>
      <c r="F42" s="537"/>
      <c r="G42" s="537"/>
      <c r="H42" s="856"/>
      <c r="I42" s="858"/>
      <c r="J42" s="1763"/>
      <c r="K42" s="1760"/>
      <c r="L42" s="1761"/>
      <c r="M42" s="1638"/>
      <c r="N42" s="1638"/>
      <c r="O42" s="1638"/>
      <c r="P42" s="1644"/>
    </row>
    <row r="43" spans="1:16" ht="20.149999999999999" hidden="1" customHeight="1">
      <c r="A43" s="1777"/>
      <c r="B43" s="1772"/>
      <c r="C43" s="1758"/>
      <c r="D43" s="860" t="s">
        <v>1348</v>
      </c>
      <c r="E43" s="861">
        <f>SUM(E40:E42)</f>
        <v>369.25300000000004</v>
      </c>
      <c r="F43" s="861">
        <f>SUM(F40:F42)</f>
        <v>307.46300000000002</v>
      </c>
      <c r="G43" s="861">
        <f>SUM(G40:G42)</f>
        <v>292.99599999999998</v>
      </c>
      <c r="H43" s="862">
        <f t="shared" si="4"/>
        <v>0.95294718388879296</v>
      </c>
      <c r="I43" s="863">
        <f t="shared" ref="I43" si="7">SUM(I40:I42)</f>
        <v>393.02</v>
      </c>
      <c r="J43" s="1763"/>
      <c r="K43" s="1760"/>
      <c r="L43" s="1761"/>
      <c r="M43" s="1638"/>
      <c r="N43" s="1638"/>
      <c r="O43" s="1638"/>
      <c r="P43" s="1644"/>
    </row>
    <row r="44" spans="1:16" ht="20.149999999999999" hidden="1" customHeight="1">
      <c r="A44" s="1777"/>
      <c r="B44" s="1773" t="s">
        <v>1371</v>
      </c>
      <c r="C44" s="1758" t="s">
        <v>1724</v>
      </c>
      <c r="D44" s="854" t="s">
        <v>668</v>
      </c>
      <c r="E44" s="537">
        <v>353.8</v>
      </c>
      <c r="F44" s="537">
        <v>351.78500000000003</v>
      </c>
      <c r="G44" s="537">
        <v>335.12599999999998</v>
      </c>
      <c r="H44" s="856">
        <f t="shared" si="4"/>
        <v>0.95264437085151432</v>
      </c>
      <c r="I44" s="864">
        <f>380.02-0.1</f>
        <v>379.91999999999996</v>
      </c>
      <c r="J44" s="1763"/>
      <c r="K44" s="1759"/>
      <c r="L44" s="1761"/>
      <c r="M44" s="1638"/>
      <c r="N44" s="1638"/>
      <c r="O44" s="1638"/>
      <c r="P44" s="1644"/>
    </row>
    <row r="45" spans="1:16" ht="20.149999999999999" hidden="1" customHeight="1">
      <c r="A45" s="1777"/>
      <c r="B45" s="1771"/>
      <c r="C45" s="1758"/>
      <c r="D45" s="854" t="s">
        <v>1324</v>
      </c>
      <c r="E45" s="855">
        <v>33.700000000000003</v>
      </c>
      <c r="F45" s="855">
        <v>38.200000000000003</v>
      </c>
      <c r="G45" s="855">
        <v>37.249000000000002</v>
      </c>
      <c r="H45" s="856">
        <f t="shared" si="4"/>
        <v>0.97510471204188476</v>
      </c>
      <c r="I45" s="863">
        <f>37.6</f>
        <v>37.6</v>
      </c>
      <c r="J45" s="1763"/>
      <c r="K45" s="1760"/>
      <c r="L45" s="1761"/>
      <c r="M45" s="1638"/>
      <c r="N45" s="1638"/>
      <c r="O45" s="1638"/>
      <c r="P45" s="1644"/>
    </row>
    <row r="46" spans="1:16" ht="20.149999999999999" hidden="1" customHeight="1">
      <c r="A46" s="1777"/>
      <c r="B46" s="1771"/>
      <c r="C46" s="1758"/>
      <c r="D46" s="865" t="s">
        <v>2752</v>
      </c>
      <c r="E46" s="855"/>
      <c r="F46" s="855"/>
      <c r="G46" s="855"/>
      <c r="H46" s="856"/>
      <c r="I46" s="866">
        <v>0.58499999999999996</v>
      </c>
      <c r="J46" s="1763"/>
      <c r="K46" s="1760"/>
      <c r="L46" s="1761"/>
      <c r="M46" s="1638"/>
      <c r="N46" s="1638"/>
      <c r="O46" s="1638"/>
      <c r="P46" s="1644"/>
    </row>
    <row r="47" spans="1:16" ht="20.149999999999999" hidden="1" customHeight="1">
      <c r="A47" s="1777"/>
      <c r="B47" s="1771"/>
      <c r="C47" s="1758"/>
      <c r="D47" s="854" t="s">
        <v>976</v>
      </c>
      <c r="E47" s="537"/>
      <c r="F47" s="537"/>
      <c r="G47" s="537"/>
      <c r="H47" s="856"/>
      <c r="I47" s="858"/>
      <c r="J47" s="1763"/>
      <c r="K47" s="1760"/>
      <c r="L47" s="1761"/>
      <c r="M47" s="1638"/>
      <c r="N47" s="1638"/>
      <c r="O47" s="1638"/>
      <c r="P47" s="1644"/>
    </row>
    <row r="48" spans="1:16" ht="20.149999999999999" hidden="1" customHeight="1">
      <c r="A48" s="1777"/>
      <c r="B48" s="1772"/>
      <c r="C48" s="1758"/>
      <c r="D48" s="860" t="s">
        <v>1348</v>
      </c>
      <c r="E48" s="861">
        <f>SUM(E44:E47)</f>
        <v>387.5</v>
      </c>
      <c r="F48" s="861">
        <f>SUM(F44:F47)</f>
        <v>389.98500000000001</v>
      </c>
      <c r="G48" s="861">
        <f>SUM(G44:G47)</f>
        <v>372.375</v>
      </c>
      <c r="H48" s="862">
        <f t="shared" si="4"/>
        <v>0.95484441709296508</v>
      </c>
      <c r="I48" s="863">
        <f>SUM(I44:I47)</f>
        <v>418.10499999999996</v>
      </c>
      <c r="J48" s="1763"/>
      <c r="K48" s="1760"/>
      <c r="L48" s="1761"/>
      <c r="M48" s="1638"/>
      <c r="N48" s="1638"/>
      <c r="O48" s="1638"/>
      <c r="P48" s="1644"/>
    </row>
    <row r="49" spans="1:16" ht="20.149999999999999" hidden="1" customHeight="1">
      <c r="A49" s="1777"/>
      <c r="B49" s="1773" t="s">
        <v>1345</v>
      </c>
      <c r="C49" s="1758" t="s">
        <v>1725</v>
      </c>
      <c r="D49" s="854" t="s">
        <v>668</v>
      </c>
      <c r="E49" s="537">
        <v>410</v>
      </c>
      <c r="F49" s="537">
        <v>401.48500000000001</v>
      </c>
      <c r="G49" s="537">
        <v>393.86399999999998</v>
      </c>
      <c r="H49" s="856">
        <f t="shared" si="4"/>
        <v>0.98101797078346631</v>
      </c>
      <c r="I49" s="864">
        <f>448.25-0.76</f>
        <v>447.49</v>
      </c>
      <c r="J49" s="1763"/>
      <c r="K49" s="1759"/>
      <c r="L49" s="1761"/>
      <c r="M49" s="1638"/>
      <c r="N49" s="1638"/>
      <c r="O49" s="1638"/>
      <c r="P49" s="1644"/>
    </row>
    <row r="50" spans="1:16" ht="20.149999999999999" hidden="1" customHeight="1">
      <c r="A50" s="1777"/>
      <c r="B50" s="1771"/>
      <c r="C50" s="1758"/>
      <c r="D50" s="854" t="s">
        <v>1324</v>
      </c>
      <c r="E50" s="537">
        <f>38.5+0.829</f>
        <v>39.329000000000001</v>
      </c>
      <c r="F50" s="537">
        <v>40.646999999999998</v>
      </c>
      <c r="G50" s="537">
        <v>40.646999999999998</v>
      </c>
      <c r="H50" s="856">
        <f t="shared" si="4"/>
        <v>1</v>
      </c>
      <c r="I50" s="863">
        <v>40.5</v>
      </c>
      <c r="J50" s="1763"/>
      <c r="K50" s="1760"/>
      <c r="L50" s="1761"/>
      <c r="M50" s="1638"/>
      <c r="N50" s="1638"/>
      <c r="O50" s="1638"/>
      <c r="P50" s="1644"/>
    </row>
    <row r="51" spans="1:16" ht="20.149999999999999" hidden="1" customHeight="1">
      <c r="A51" s="1777"/>
      <c r="B51" s="1771"/>
      <c r="C51" s="1758"/>
      <c r="D51" s="854" t="s">
        <v>976</v>
      </c>
      <c r="E51" s="537"/>
      <c r="F51" s="537"/>
      <c r="G51" s="859">
        <v>0.85199999999999998</v>
      </c>
      <c r="H51" s="856"/>
      <c r="I51" s="858"/>
      <c r="J51" s="1763"/>
      <c r="K51" s="1760"/>
      <c r="L51" s="1761"/>
      <c r="M51" s="1638"/>
      <c r="N51" s="1638"/>
      <c r="O51" s="1638"/>
      <c r="P51" s="1644"/>
    </row>
    <row r="52" spans="1:16" ht="20.149999999999999" hidden="1" customHeight="1">
      <c r="A52" s="1777"/>
      <c r="B52" s="1772"/>
      <c r="C52" s="1758"/>
      <c r="D52" s="860" t="s">
        <v>1348</v>
      </c>
      <c r="E52" s="861">
        <f>SUM(E49:E51)</f>
        <v>449.32900000000001</v>
      </c>
      <c r="F52" s="861">
        <f>SUM(F49:F51)</f>
        <v>442.13200000000001</v>
      </c>
      <c r="G52" s="861">
        <f>SUM(G49:G51)</f>
        <v>435.36299999999994</v>
      </c>
      <c r="H52" s="862">
        <f t="shared" si="4"/>
        <v>0.9846900925515456</v>
      </c>
      <c r="I52" s="863">
        <f t="shared" ref="I52" si="8">SUM(I49:I51)</f>
        <v>487.99</v>
      </c>
      <c r="J52" s="1763"/>
      <c r="K52" s="1760"/>
      <c r="L52" s="1761"/>
      <c r="M52" s="1638"/>
      <c r="N52" s="1638"/>
      <c r="O52" s="1638"/>
      <c r="P52" s="1644"/>
    </row>
    <row r="53" spans="1:16" ht="20.149999999999999" hidden="1" customHeight="1">
      <c r="A53" s="1777"/>
      <c r="B53" s="1773" t="s">
        <v>1372</v>
      </c>
      <c r="C53" s="1758" t="s">
        <v>1726</v>
      </c>
      <c r="D53" s="854" t="s">
        <v>668</v>
      </c>
      <c r="E53" s="537">
        <v>482.66</v>
      </c>
      <c r="F53" s="537">
        <v>466.51499999999999</v>
      </c>
      <c r="G53" s="537">
        <v>448.26900000000001</v>
      </c>
      <c r="H53" s="856">
        <f t="shared" si="4"/>
        <v>0.96088871740458515</v>
      </c>
      <c r="I53" s="864">
        <f>518.62-0.22</f>
        <v>518.4</v>
      </c>
      <c r="J53" s="1763"/>
      <c r="K53" s="1759"/>
      <c r="L53" s="1761"/>
      <c r="M53" s="1638"/>
      <c r="N53" s="1638"/>
      <c r="O53" s="1638"/>
      <c r="P53" s="1644"/>
    </row>
    <row r="54" spans="1:16" ht="20.149999999999999" hidden="1" customHeight="1">
      <c r="A54" s="1777"/>
      <c r="B54" s="1771"/>
      <c r="C54" s="1758"/>
      <c r="D54" s="854" t="s">
        <v>1324</v>
      </c>
      <c r="E54" s="855">
        <f>40.7+1.42</f>
        <v>42.120000000000005</v>
      </c>
      <c r="F54" s="855">
        <v>52.54</v>
      </c>
      <c r="G54" s="855">
        <v>50.985999999999997</v>
      </c>
      <c r="H54" s="856">
        <f t="shared" si="4"/>
        <v>0.97042253521126753</v>
      </c>
      <c r="I54" s="863">
        <f>51</f>
        <v>51</v>
      </c>
      <c r="J54" s="1763"/>
      <c r="K54" s="1760"/>
      <c r="L54" s="1761"/>
      <c r="M54" s="1638"/>
      <c r="N54" s="1638"/>
      <c r="O54" s="1638"/>
      <c r="P54" s="1644"/>
    </row>
    <row r="55" spans="1:16" ht="20.149999999999999" hidden="1" customHeight="1">
      <c r="A55" s="1777"/>
      <c r="B55" s="1771"/>
      <c r="C55" s="1758"/>
      <c r="D55" s="865" t="s">
        <v>2752</v>
      </c>
      <c r="E55" s="855"/>
      <c r="F55" s="855"/>
      <c r="G55" s="855"/>
      <c r="H55" s="856"/>
      <c r="I55" s="863">
        <v>0.67900000000000005</v>
      </c>
      <c r="J55" s="1763"/>
      <c r="K55" s="1760"/>
      <c r="L55" s="1761"/>
      <c r="M55" s="1638"/>
      <c r="N55" s="1638"/>
      <c r="O55" s="1638"/>
      <c r="P55" s="1644"/>
    </row>
    <row r="56" spans="1:16" ht="20.149999999999999" hidden="1" customHeight="1">
      <c r="A56" s="1777"/>
      <c r="B56" s="1771"/>
      <c r="C56" s="1758"/>
      <c r="D56" s="854" t="s">
        <v>976</v>
      </c>
      <c r="E56" s="537"/>
      <c r="F56" s="537"/>
      <c r="G56" s="859">
        <v>2.5670000000000002</v>
      </c>
      <c r="H56" s="856"/>
      <c r="I56" s="863"/>
      <c r="J56" s="1763"/>
      <c r="K56" s="1760"/>
      <c r="L56" s="1761"/>
      <c r="M56" s="1638"/>
      <c r="N56" s="1638"/>
      <c r="O56" s="1638"/>
      <c r="P56" s="1644"/>
    </row>
    <row r="57" spans="1:16" ht="20.149999999999999" hidden="1" customHeight="1">
      <c r="A57" s="1777"/>
      <c r="B57" s="1772"/>
      <c r="C57" s="1758"/>
      <c r="D57" s="860" t="s">
        <v>1348</v>
      </c>
      <c r="E57" s="861">
        <f>SUM(E53:E56)</f>
        <v>524.78</v>
      </c>
      <c r="F57" s="861">
        <f>SUM(F53:F56)</f>
        <v>519.05499999999995</v>
      </c>
      <c r="G57" s="861">
        <f>SUM(G53:G56)</f>
        <v>501.822</v>
      </c>
      <c r="H57" s="862">
        <f t="shared" si="4"/>
        <v>0.96679927945978761</v>
      </c>
      <c r="I57" s="863">
        <f>SUM(I53:I56)</f>
        <v>570.07899999999995</v>
      </c>
      <c r="J57" s="1763"/>
      <c r="K57" s="1760"/>
      <c r="L57" s="1761"/>
      <c r="M57" s="1638"/>
      <c r="N57" s="1638"/>
      <c r="O57" s="1638"/>
      <c r="P57" s="1644"/>
    </row>
    <row r="58" spans="1:16" ht="20.149999999999999" hidden="1" customHeight="1">
      <c r="A58" s="1777"/>
      <c r="B58" s="1773" t="s">
        <v>1346</v>
      </c>
      <c r="C58" s="1758" t="s">
        <v>1727</v>
      </c>
      <c r="D58" s="854" t="s">
        <v>668</v>
      </c>
      <c r="E58" s="537">
        <v>424.35</v>
      </c>
      <c r="F58" s="537">
        <v>417.14</v>
      </c>
      <c r="G58" s="537">
        <v>396.42200000000003</v>
      </c>
      <c r="H58" s="856">
        <f t="shared" si="4"/>
        <v>0.9503332214604211</v>
      </c>
      <c r="I58" s="864">
        <f>459.67-0.9</f>
        <v>458.77000000000004</v>
      </c>
      <c r="J58" s="1763"/>
      <c r="K58" s="1759" t="s">
        <v>3520</v>
      </c>
      <c r="L58" s="1761"/>
      <c r="M58" s="1638"/>
      <c r="N58" s="1638"/>
      <c r="O58" s="1638"/>
      <c r="P58" s="1644"/>
    </row>
    <row r="59" spans="1:16" ht="20.149999999999999" hidden="1" customHeight="1">
      <c r="A59" s="1777"/>
      <c r="B59" s="1771"/>
      <c r="C59" s="1758"/>
      <c r="D59" s="854" t="s">
        <v>1324</v>
      </c>
      <c r="E59" s="855">
        <v>71.102999999999994</v>
      </c>
      <c r="F59" s="855">
        <v>79.102999999999994</v>
      </c>
      <c r="G59" s="855">
        <v>76.260999999999996</v>
      </c>
      <c r="H59" s="856">
        <f t="shared" si="4"/>
        <v>0.96407215908372634</v>
      </c>
      <c r="I59" s="863">
        <f>76.5</f>
        <v>76.5</v>
      </c>
      <c r="J59" s="1763"/>
      <c r="K59" s="1760"/>
      <c r="L59" s="1761"/>
      <c r="M59" s="1638"/>
      <c r="N59" s="1638"/>
      <c r="O59" s="1638"/>
      <c r="P59" s="1644"/>
    </row>
    <row r="60" spans="1:16" ht="20.149999999999999" hidden="1" customHeight="1">
      <c r="A60" s="1777"/>
      <c r="B60" s="1771"/>
      <c r="C60" s="1758"/>
      <c r="D60" s="865" t="s">
        <v>2752</v>
      </c>
      <c r="E60" s="855"/>
      <c r="F60" s="855"/>
      <c r="G60" s="855"/>
      <c r="H60" s="856"/>
      <c r="I60" s="866">
        <v>0.159</v>
      </c>
      <c r="J60" s="1763"/>
      <c r="K60" s="1760"/>
      <c r="L60" s="1761"/>
      <c r="M60" s="1638"/>
      <c r="N60" s="1638"/>
      <c r="O60" s="1638"/>
      <c r="P60" s="1644"/>
    </row>
    <row r="61" spans="1:16" ht="20.149999999999999" hidden="1" customHeight="1">
      <c r="A61" s="1777"/>
      <c r="B61" s="1771"/>
      <c r="C61" s="1758"/>
      <c r="D61" s="854" t="s">
        <v>1349</v>
      </c>
      <c r="E61" s="537">
        <v>35</v>
      </c>
      <c r="F61" s="537">
        <v>35</v>
      </c>
      <c r="G61" s="537">
        <v>35</v>
      </c>
      <c r="H61" s="856">
        <f t="shared" si="4"/>
        <v>1</v>
      </c>
      <c r="I61" s="863">
        <v>0</v>
      </c>
      <c r="J61" s="1763"/>
      <c r="K61" s="1760"/>
      <c r="L61" s="1761"/>
      <c r="M61" s="1638"/>
      <c r="N61" s="1638"/>
      <c r="O61" s="1638"/>
      <c r="P61" s="1644"/>
    </row>
    <row r="62" spans="1:16" ht="20.149999999999999" hidden="1" customHeight="1">
      <c r="A62" s="1777"/>
      <c r="B62" s="1771"/>
      <c r="C62" s="1758"/>
      <c r="D62" s="854" t="s">
        <v>976</v>
      </c>
      <c r="E62" s="537"/>
      <c r="F62" s="869">
        <f>14+15</f>
        <v>29</v>
      </c>
      <c r="G62" s="869">
        <f>4+15</f>
        <v>19</v>
      </c>
      <c r="H62" s="856">
        <f t="shared" si="4"/>
        <v>0.65517241379310343</v>
      </c>
      <c r="I62" s="858"/>
      <c r="J62" s="1763"/>
      <c r="K62" s="1760"/>
      <c r="L62" s="1761"/>
      <c r="M62" s="1638"/>
      <c r="N62" s="1638"/>
      <c r="O62" s="1638"/>
      <c r="P62" s="1644"/>
    </row>
    <row r="63" spans="1:16" ht="20.149999999999999" hidden="1" customHeight="1">
      <c r="A63" s="1777"/>
      <c r="B63" s="1772"/>
      <c r="C63" s="1758"/>
      <c r="D63" s="860" t="s">
        <v>1348</v>
      </c>
      <c r="E63" s="861">
        <f>SUM(E58:E62)</f>
        <v>530.45299999999997</v>
      </c>
      <c r="F63" s="861">
        <f>SUM(F58:F62)</f>
        <v>560.24299999999994</v>
      </c>
      <c r="G63" s="861">
        <f>SUM(G58:G62)</f>
        <v>526.68299999999999</v>
      </c>
      <c r="H63" s="862">
        <f t="shared" si="4"/>
        <v>0.94009742201152013</v>
      </c>
      <c r="I63" s="863">
        <f t="shared" ref="I63" si="9">SUM(I58:I62)</f>
        <v>535.42899999999997</v>
      </c>
      <c r="J63" s="1763"/>
      <c r="K63" s="1760"/>
      <c r="L63" s="1761"/>
      <c r="M63" s="1638"/>
      <c r="N63" s="1638"/>
      <c r="O63" s="1638"/>
      <c r="P63" s="1644"/>
    </row>
    <row r="64" spans="1:16" ht="20.149999999999999" hidden="1" customHeight="1">
      <c r="A64" s="1777"/>
      <c r="B64" s="1773" t="s">
        <v>1373</v>
      </c>
      <c r="C64" s="1758" t="s">
        <v>1728</v>
      </c>
      <c r="D64" s="854" t="s">
        <v>668</v>
      </c>
      <c r="E64" s="537">
        <v>312.13</v>
      </c>
      <c r="F64" s="537">
        <v>309.77999999999997</v>
      </c>
      <c r="G64" s="537">
        <v>294.49400000000003</v>
      </c>
      <c r="H64" s="856">
        <f t="shared" si="4"/>
        <v>0.95065530376396168</v>
      </c>
      <c r="I64" s="864">
        <v>342.37</v>
      </c>
      <c r="J64" s="1763"/>
      <c r="K64" s="1759"/>
      <c r="L64" s="1761"/>
      <c r="M64" s="1638"/>
      <c r="N64" s="1638"/>
      <c r="O64" s="1638"/>
      <c r="P64" s="1644"/>
    </row>
    <row r="65" spans="1:16" ht="20.149999999999999" hidden="1" customHeight="1">
      <c r="A65" s="1777"/>
      <c r="B65" s="1771"/>
      <c r="C65" s="1758"/>
      <c r="D65" s="854" t="s">
        <v>1324</v>
      </c>
      <c r="E65" s="855">
        <v>31</v>
      </c>
      <c r="F65" s="855">
        <v>31.01</v>
      </c>
      <c r="G65" s="855">
        <v>29.367000000000001</v>
      </c>
      <c r="H65" s="856">
        <f t="shared" si="4"/>
        <v>0.94701709126088351</v>
      </c>
      <c r="I65" s="863">
        <f>30.1</f>
        <v>30.1</v>
      </c>
      <c r="J65" s="1763"/>
      <c r="K65" s="1760"/>
      <c r="L65" s="1761"/>
      <c r="M65" s="1638"/>
      <c r="N65" s="1638"/>
      <c r="O65" s="1638"/>
      <c r="P65" s="1644"/>
    </row>
    <row r="66" spans="1:16" ht="20.149999999999999" hidden="1" customHeight="1">
      <c r="A66" s="1777"/>
      <c r="B66" s="1771"/>
      <c r="C66" s="1758"/>
      <c r="D66" s="865" t="s">
        <v>2752</v>
      </c>
      <c r="E66" s="855"/>
      <c r="F66" s="855"/>
      <c r="G66" s="855"/>
      <c r="H66" s="856"/>
      <c r="I66" s="866">
        <v>8.0000000000000002E-3</v>
      </c>
      <c r="J66" s="1763"/>
      <c r="K66" s="1760"/>
      <c r="L66" s="1761"/>
      <c r="M66" s="1638"/>
      <c r="N66" s="1638"/>
      <c r="O66" s="1638"/>
      <c r="P66" s="1644"/>
    </row>
    <row r="67" spans="1:16" ht="20.149999999999999" hidden="1" customHeight="1">
      <c r="A67" s="1777"/>
      <c r="B67" s="1771"/>
      <c r="C67" s="1758"/>
      <c r="D67" s="854" t="s">
        <v>976</v>
      </c>
      <c r="E67" s="537"/>
      <c r="F67" s="869">
        <v>0.56499999999999995</v>
      </c>
      <c r="G67" s="869">
        <v>0.56499999999999995</v>
      </c>
      <c r="H67" s="856"/>
      <c r="I67" s="858"/>
      <c r="J67" s="1763"/>
      <c r="K67" s="1760"/>
      <c r="L67" s="1761"/>
      <c r="M67" s="1638"/>
      <c r="N67" s="1638"/>
      <c r="O67" s="1638"/>
      <c r="P67" s="1644"/>
    </row>
    <row r="68" spans="1:16" ht="20.149999999999999" hidden="1" customHeight="1">
      <c r="A68" s="1777"/>
      <c r="B68" s="1772"/>
      <c r="C68" s="1758"/>
      <c r="D68" s="860" t="s">
        <v>1348</v>
      </c>
      <c r="E68" s="861">
        <f>SUM(E64:E67)</f>
        <v>343.13</v>
      </c>
      <c r="F68" s="861">
        <f>SUM(F64:F67)</f>
        <v>341.35499999999996</v>
      </c>
      <c r="G68" s="861">
        <f>SUM(G64:G67)</f>
        <v>324.42600000000004</v>
      </c>
      <c r="H68" s="862">
        <f t="shared" si="4"/>
        <v>0.95040646833941234</v>
      </c>
      <c r="I68" s="863">
        <f t="shared" ref="I68" si="10">SUM(I64:I67)</f>
        <v>372.47800000000001</v>
      </c>
      <c r="J68" s="1763"/>
      <c r="K68" s="1760"/>
      <c r="L68" s="1761"/>
      <c r="M68" s="1638"/>
      <c r="N68" s="1638"/>
      <c r="O68" s="1638"/>
      <c r="P68" s="1644"/>
    </row>
    <row r="69" spans="1:16" ht="20.149999999999999" hidden="1" customHeight="1">
      <c r="A69" s="1777"/>
      <c r="B69" s="1773" t="s">
        <v>1347</v>
      </c>
      <c r="C69" s="1819" t="s">
        <v>1729</v>
      </c>
      <c r="D69" s="854" t="s">
        <v>668</v>
      </c>
      <c r="E69" s="855">
        <v>1644.63</v>
      </c>
      <c r="F69" s="855">
        <v>549.81700000000001</v>
      </c>
      <c r="G69" s="855">
        <v>547.40700000000004</v>
      </c>
      <c r="H69" s="856">
        <f t="shared" si="4"/>
        <v>0.99561672338250728</v>
      </c>
      <c r="I69" s="870">
        <f>464.86-0.77</f>
        <v>464.09000000000003</v>
      </c>
      <c r="J69" s="1763"/>
      <c r="K69" s="1759"/>
      <c r="L69" s="1761"/>
      <c r="M69" s="1638"/>
      <c r="N69" s="1638"/>
      <c r="O69" s="1638"/>
      <c r="P69" s="1644"/>
    </row>
    <row r="70" spans="1:16" ht="20.149999999999999" hidden="1" customHeight="1">
      <c r="A70" s="1777"/>
      <c r="B70" s="1771"/>
      <c r="C70" s="1820"/>
      <c r="D70" s="854" t="s">
        <v>1324</v>
      </c>
      <c r="E70" s="855">
        <v>92.5</v>
      </c>
      <c r="F70" s="855">
        <v>22.454000000000001</v>
      </c>
      <c r="G70" s="855">
        <v>22.407</v>
      </c>
      <c r="H70" s="856">
        <f t="shared" si="4"/>
        <v>0.99790683174490069</v>
      </c>
      <c r="I70" s="863">
        <v>87.7</v>
      </c>
      <c r="J70" s="1763"/>
      <c r="K70" s="1760"/>
      <c r="L70" s="1761"/>
      <c r="M70" s="1638"/>
      <c r="N70" s="1638"/>
      <c r="O70" s="1638"/>
      <c r="P70" s="1644"/>
    </row>
    <row r="71" spans="1:16" ht="20.149999999999999" hidden="1" customHeight="1">
      <c r="A71" s="1777"/>
      <c r="B71" s="1771"/>
      <c r="C71" s="1820"/>
      <c r="D71" s="854" t="s">
        <v>976</v>
      </c>
      <c r="E71" s="537"/>
      <c r="F71" s="537"/>
      <c r="G71" s="859">
        <v>1.1080000000000001</v>
      </c>
      <c r="H71" s="856"/>
      <c r="I71" s="858"/>
      <c r="J71" s="1763"/>
      <c r="K71" s="1760"/>
      <c r="L71" s="1761"/>
      <c r="M71" s="1638"/>
      <c r="N71" s="1638"/>
      <c r="O71" s="1638"/>
      <c r="P71" s="1644"/>
    </row>
    <row r="72" spans="1:16" ht="20.149999999999999" hidden="1" customHeight="1">
      <c r="A72" s="1777"/>
      <c r="B72" s="1771"/>
      <c r="C72" s="1820"/>
      <c r="D72" s="860" t="s">
        <v>1348</v>
      </c>
      <c r="E72" s="861">
        <f>SUM(E69:E71)</f>
        <v>1737.13</v>
      </c>
      <c r="F72" s="861">
        <f>SUM(F69:F71)</f>
        <v>572.27099999999996</v>
      </c>
      <c r="G72" s="861">
        <f>SUM(G69:G71)</f>
        <v>570.92200000000003</v>
      </c>
      <c r="H72" s="862">
        <f t="shared" si="4"/>
        <v>0.99764272521235575</v>
      </c>
      <c r="I72" s="863">
        <f t="shared" ref="I72" si="11">SUM(I69:I71)</f>
        <v>551.79000000000008</v>
      </c>
      <c r="J72" s="1763"/>
      <c r="K72" s="1760"/>
      <c r="L72" s="1761"/>
      <c r="M72" s="1638"/>
      <c r="N72" s="1638"/>
      <c r="O72" s="1638"/>
      <c r="P72" s="1644"/>
    </row>
    <row r="73" spans="1:16" ht="20.149999999999999" hidden="1" customHeight="1">
      <c r="A73" s="1777"/>
      <c r="B73" s="1773" t="s">
        <v>1374</v>
      </c>
      <c r="C73" s="1758" t="s">
        <v>1730</v>
      </c>
      <c r="D73" s="854" t="s">
        <v>668</v>
      </c>
      <c r="E73" s="855">
        <v>99.03</v>
      </c>
      <c r="F73" s="855">
        <v>89.025000000000006</v>
      </c>
      <c r="G73" s="855">
        <v>87.603999999999999</v>
      </c>
      <c r="H73" s="856">
        <f t="shared" si="4"/>
        <v>0.98403819151923611</v>
      </c>
      <c r="I73" s="864">
        <v>116.2</v>
      </c>
      <c r="J73" s="1763"/>
      <c r="K73" s="1759"/>
      <c r="L73" s="1761"/>
      <c r="M73" s="1638"/>
      <c r="N73" s="1638"/>
      <c r="O73" s="1638"/>
      <c r="P73" s="1644"/>
    </row>
    <row r="74" spans="1:16" ht="20.149999999999999" hidden="1" customHeight="1">
      <c r="A74" s="1777"/>
      <c r="B74" s="1771"/>
      <c r="C74" s="1758"/>
      <c r="D74" s="854" t="s">
        <v>1324</v>
      </c>
      <c r="E74" s="537">
        <v>10.1</v>
      </c>
      <c r="F74" s="537">
        <v>31.565999999999999</v>
      </c>
      <c r="G74" s="537">
        <v>31.606000000000002</v>
      </c>
      <c r="H74" s="856">
        <f t="shared" si="4"/>
        <v>1.001267186213014</v>
      </c>
      <c r="I74" s="863">
        <v>23.1</v>
      </c>
      <c r="J74" s="1763"/>
      <c r="K74" s="1760"/>
      <c r="L74" s="1761"/>
      <c r="M74" s="1638"/>
      <c r="N74" s="1638"/>
      <c r="O74" s="1638"/>
      <c r="P74" s="1644"/>
    </row>
    <row r="75" spans="1:16" ht="20.149999999999999" hidden="1" customHeight="1">
      <c r="A75" s="1777"/>
      <c r="B75" s="1771"/>
      <c r="C75" s="1758"/>
      <c r="D75" s="854" t="s">
        <v>976</v>
      </c>
      <c r="E75" s="537"/>
      <c r="F75" s="537"/>
      <c r="G75" s="859">
        <v>0.45500000000000002</v>
      </c>
      <c r="H75" s="856"/>
      <c r="I75" s="858">
        <v>0.33300000000000002</v>
      </c>
      <c r="J75" s="1763"/>
      <c r="K75" s="1760"/>
      <c r="L75" s="1761"/>
      <c r="M75" s="1638"/>
      <c r="N75" s="1638"/>
      <c r="O75" s="1638"/>
      <c r="P75" s="1644"/>
    </row>
    <row r="76" spans="1:16" ht="20.149999999999999" hidden="1" customHeight="1">
      <c r="A76" s="1778"/>
      <c r="B76" s="1772"/>
      <c r="C76" s="1758"/>
      <c r="D76" s="860" t="s">
        <v>1348</v>
      </c>
      <c r="E76" s="861">
        <f>SUM(E73:E75)</f>
        <v>109.13</v>
      </c>
      <c r="F76" s="861">
        <f>SUM(F73:F75)</f>
        <v>120.59100000000001</v>
      </c>
      <c r="G76" s="861">
        <f>SUM(G73:G75)</f>
        <v>119.66500000000001</v>
      </c>
      <c r="H76" s="862">
        <f t="shared" si="4"/>
        <v>0.99232115166140089</v>
      </c>
      <c r="I76" s="863">
        <f t="shared" ref="I76" si="12">SUM(I73:I75)</f>
        <v>139.63300000000001</v>
      </c>
      <c r="J76" s="1763"/>
      <c r="K76" s="1760"/>
      <c r="L76" s="1761"/>
      <c r="M76" s="1638"/>
      <c r="N76" s="1638"/>
      <c r="O76" s="1638"/>
      <c r="P76" s="1644"/>
    </row>
    <row r="77" spans="1:16" ht="24.75" customHeight="1">
      <c r="A77" s="1765" t="s">
        <v>1955</v>
      </c>
      <c r="B77" s="1757" t="s">
        <v>1350</v>
      </c>
      <c r="C77" s="1706" t="s">
        <v>1325</v>
      </c>
      <c r="D77" s="871" t="s">
        <v>1351</v>
      </c>
      <c r="E77" s="701">
        <f>SUM(E83,E89,E95,E101,E107,E113,E119,E125,E131,E137,E143,E149,E156,)</f>
        <v>7901.3199999999988</v>
      </c>
      <c r="F77" s="701">
        <f>SUM(F83,F89,F95,F101,F107,F113,F119,F125,F131,F137,F143,F149,F156,)</f>
        <v>8001.12</v>
      </c>
      <c r="G77" s="701">
        <f>SUM(G83,G89,G95,G101,G107,G113,G119,G125,G131,G137,G143,G149,G156,)</f>
        <v>8001.1210000000001</v>
      </c>
      <c r="H77" s="816">
        <f t="shared" si="4"/>
        <v>1.0000001249825026</v>
      </c>
      <c r="I77" s="872">
        <f>SUM(I83,I89,I95,I101,I107,I113,I119,I125,I131,I137,I143,I149,I156,)</f>
        <v>8794.5399999999991</v>
      </c>
      <c r="J77" s="1763"/>
      <c r="K77" s="1699" t="s">
        <v>3627</v>
      </c>
      <c r="L77" s="1646" t="s">
        <v>171</v>
      </c>
      <c r="M77" s="1638"/>
      <c r="N77" s="1638"/>
      <c r="O77" s="1638"/>
      <c r="P77" s="1644"/>
    </row>
    <row r="78" spans="1:16" ht="24.75" customHeight="1">
      <c r="A78" s="1766"/>
      <c r="B78" s="1757"/>
      <c r="C78" s="1821"/>
      <c r="D78" s="871" t="s">
        <v>1320</v>
      </c>
      <c r="E78" s="701">
        <v>0</v>
      </c>
      <c r="F78" s="701">
        <f>SUM(F144)</f>
        <v>63.726999999999997</v>
      </c>
      <c r="G78" s="701">
        <f>SUM(G144)</f>
        <v>63.726999999999997</v>
      </c>
      <c r="H78" s="816">
        <f t="shared" si="4"/>
        <v>1</v>
      </c>
      <c r="I78" s="872"/>
      <c r="J78" s="1763"/>
      <c r="K78" s="1700"/>
      <c r="L78" s="1646"/>
      <c r="M78" s="1638"/>
      <c r="N78" s="1638"/>
      <c r="O78" s="1638"/>
      <c r="P78" s="1644"/>
    </row>
    <row r="79" spans="1:16" ht="26.25" customHeight="1">
      <c r="A79" s="1766"/>
      <c r="B79" s="1757"/>
      <c r="C79" s="1821"/>
      <c r="D79" s="871" t="s">
        <v>668</v>
      </c>
      <c r="E79" s="701">
        <f>SUM(E85,E97,E103,E109,E127,E139,E151,E91,E133,)</f>
        <v>249.03999999999996</v>
      </c>
      <c r="F79" s="701">
        <f>SUM(F85,F97,F103,F109,F127,F139,F151,F91,F133,F145)</f>
        <v>1782.4519999999998</v>
      </c>
      <c r="G79" s="701">
        <f>SUM(G85,G97,G103,G109,G127,G139,G151,G91,G133,G145)</f>
        <v>1772.5020000000002</v>
      </c>
      <c r="H79" s="816">
        <f t="shared" si="4"/>
        <v>0.99441780199410723</v>
      </c>
      <c r="I79" s="872">
        <f>SUM(I85,I97,I103,I109,I127,I139,I151,I91,I133,I121,I155)</f>
        <v>564.09</v>
      </c>
      <c r="J79" s="1763"/>
      <c r="K79" s="1700"/>
      <c r="L79" s="1646"/>
      <c r="M79" s="1638"/>
      <c r="N79" s="1638"/>
      <c r="O79" s="1638"/>
      <c r="P79" s="1644"/>
    </row>
    <row r="80" spans="1:16" ht="24" customHeight="1">
      <c r="A80" s="1766"/>
      <c r="B80" s="1757"/>
      <c r="C80" s="1821"/>
      <c r="D80" s="871" t="s">
        <v>1352</v>
      </c>
      <c r="E80" s="701">
        <v>0</v>
      </c>
      <c r="F80" s="701">
        <f>SUM(F86,F92,F104,F110,F116,F122,F128,F134,F140,)</f>
        <v>71.569999999999979</v>
      </c>
      <c r="G80" s="701">
        <f>SUM(G86,G92,G104,G110,G116,G122,G128,G134,G140,)</f>
        <v>68.621999999999986</v>
      </c>
      <c r="H80" s="816">
        <f t="shared" si="4"/>
        <v>0.95880955707698767</v>
      </c>
      <c r="I80" s="872">
        <f>SUM(I86,I92,I98,I104,I110,I116,I122,I128,I134,I140,I146,I152,)</f>
        <v>42.247999999999998</v>
      </c>
      <c r="J80" s="1763"/>
      <c r="K80" s="1700"/>
      <c r="L80" s="1646"/>
      <c r="M80" s="1638"/>
      <c r="N80" s="1638"/>
      <c r="O80" s="1638"/>
      <c r="P80" s="1644"/>
    </row>
    <row r="81" spans="1:16" ht="27.75" customHeight="1">
      <c r="A81" s="1766"/>
      <c r="B81" s="1757"/>
      <c r="C81" s="1821"/>
      <c r="D81" s="873" t="s">
        <v>1353</v>
      </c>
      <c r="E81" s="701">
        <v>0</v>
      </c>
      <c r="F81" s="701">
        <f>F141</f>
        <v>0.5</v>
      </c>
      <c r="G81" s="701">
        <f>G141</f>
        <v>0.5</v>
      </c>
      <c r="H81" s="816">
        <f t="shared" si="4"/>
        <v>1</v>
      </c>
      <c r="I81" s="874"/>
      <c r="J81" s="1763"/>
      <c r="K81" s="1700"/>
      <c r="L81" s="1646"/>
      <c r="M81" s="1638"/>
      <c r="N81" s="1638"/>
      <c r="O81" s="1638"/>
      <c r="P81" s="1644"/>
    </row>
    <row r="82" spans="1:16" ht="33" customHeight="1">
      <c r="A82" s="1767"/>
      <c r="B82" s="1757"/>
      <c r="C82" s="1707"/>
      <c r="D82" s="875" t="s">
        <v>1348</v>
      </c>
      <c r="E82" s="876">
        <f>SUM(E77:E81)</f>
        <v>8150.3599999999988</v>
      </c>
      <c r="F82" s="876">
        <f>SUM(F77:F81)</f>
        <v>9919.3689999999988</v>
      </c>
      <c r="G82" s="876">
        <f>SUM(G77:G81)</f>
        <v>9906.4719999999998</v>
      </c>
      <c r="H82" s="813">
        <f t="shared" si="4"/>
        <v>0.99869981649034334</v>
      </c>
      <c r="I82" s="877">
        <f>SUM(I77:I81)</f>
        <v>9400.8779999999988</v>
      </c>
      <c r="J82" s="1788"/>
      <c r="K82" s="1700"/>
      <c r="L82" s="1646"/>
      <c r="M82" s="1639"/>
      <c r="N82" s="1639"/>
      <c r="O82" s="1639"/>
      <c r="P82" s="1645"/>
    </row>
    <row r="83" spans="1:16" ht="20.149999999999999" hidden="1" customHeight="1">
      <c r="A83" s="1780"/>
      <c r="B83" s="1779" t="s">
        <v>1341</v>
      </c>
      <c r="C83" s="1838">
        <v>190230641</v>
      </c>
      <c r="D83" s="879" t="s">
        <v>1351</v>
      </c>
      <c r="E83" s="880">
        <v>534.77499999999998</v>
      </c>
      <c r="F83" s="880">
        <v>518.44899999999996</v>
      </c>
      <c r="G83" s="880">
        <v>518.44899999999996</v>
      </c>
      <c r="H83" s="881">
        <f>I83/E83</f>
        <v>0.99855079238932265</v>
      </c>
      <c r="I83" s="882">
        <v>534</v>
      </c>
      <c r="J83" s="883"/>
      <c r="K83" s="1759"/>
      <c r="L83" s="1761"/>
      <c r="M83" s="1818"/>
      <c r="N83" s="1761"/>
      <c r="O83" s="1761"/>
      <c r="P83" s="885"/>
    </row>
    <row r="84" spans="1:16" ht="20.149999999999999" hidden="1" customHeight="1">
      <c r="A84" s="1781"/>
      <c r="B84" s="1779"/>
      <c r="C84" s="1838"/>
      <c r="D84" s="879" t="s">
        <v>1320</v>
      </c>
      <c r="E84" s="886"/>
      <c r="F84" s="886"/>
      <c r="G84" s="886"/>
      <c r="H84" s="887"/>
      <c r="I84" s="858"/>
      <c r="J84" s="883"/>
      <c r="K84" s="1759"/>
      <c r="L84" s="1761"/>
      <c r="M84" s="1818"/>
      <c r="N84" s="1761"/>
      <c r="O84" s="1761"/>
      <c r="P84" s="885"/>
    </row>
    <row r="85" spans="1:16" ht="20.149999999999999" hidden="1" customHeight="1">
      <c r="A85" s="1781"/>
      <c r="B85" s="1779"/>
      <c r="C85" s="1838"/>
      <c r="D85" s="879" t="s">
        <v>668</v>
      </c>
      <c r="E85" s="888">
        <v>18</v>
      </c>
      <c r="F85" s="888">
        <v>109.355</v>
      </c>
      <c r="G85" s="888">
        <v>96.614999999999995</v>
      </c>
      <c r="H85" s="887">
        <f t="shared" ref="H85" si="13">I85/E85</f>
        <v>1.6966666666666665</v>
      </c>
      <c r="I85" s="889">
        <f>43.14-12.6</f>
        <v>30.54</v>
      </c>
      <c r="J85" s="883"/>
      <c r="K85" s="1759"/>
      <c r="L85" s="1761"/>
      <c r="M85" s="1818"/>
      <c r="N85" s="1761"/>
      <c r="O85" s="1761"/>
      <c r="P85" s="885"/>
    </row>
    <row r="86" spans="1:16" ht="20.149999999999999" hidden="1" customHeight="1">
      <c r="A86" s="1781"/>
      <c r="B86" s="1779"/>
      <c r="C86" s="1838"/>
      <c r="D86" s="879" t="s">
        <v>1352</v>
      </c>
      <c r="E86" s="886">
        <v>0</v>
      </c>
      <c r="F86" s="886">
        <v>10.724</v>
      </c>
      <c r="G86" s="886">
        <v>10.724</v>
      </c>
      <c r="H86" s="887">
        <f>G86/F86</f>
        <v>1</v>
      </c>
      <c r="I86" s="858"/>
      <c r="J86" s="883"/>
      <c r="K86" s="1759"/>
      <c r="L86" s="1761"/>
      <c r="M86" s="1818"/>
      <c r="N86" s="1761"/>
      <c r="O86" s="1761"/>
      <c r="P86" s="885"/>
    </row>
    <row r="87" spans="1:16" ht="20.149999999999999" hidden="1" customHeight="1">
      <c r="A87" s="1781"/>
      <c r="B87" s="1779"/>
      <c r="C87" s="1838"/>
      <c r="D87" s="890" t="s">
        <v>1353</v>
      </c>
      <c r="E87" s="886"/>
      <c r="F87" s="886"/>
      <c r="G87" s="886"/>
      <c r="H87" s="887"/>
      <c r="I87" s="858"/>
      <c r="J87" s="883"/>
      <c r="K87" s="1759"/>
      <c r="L87" s="1761"/>
      <c r="M87" s="1818"/>
      <c r="N87" s="1761"/>
      <c r="O87" s="1761"/>
      <c r="P87" s="885"/>
    </row>
    <row r="88" spans="1:16" ht="29.25" hidden="1" customHeight="1">
      <c r="A88" s="1781"/>
      <c r="B88" s="1779"/>
      <c r="C88" s="1838"/>
      <c r="D88" s="891" t="s">
        <v>1348</v>
      </c>
      <c r="E88" s="892">
        <f>SUM(E83:E87)</f>
        <v>552.77499999999998</v>
      </c>
      <c r="F88" s="892">
        <f>SUM(F83:F87)</f>
        <v>638.52800000000002</v>
      </c>
      <c r="G88" s="892">
        <f>SUM(G83:G87)</f>
        <v>625.78800000000001</v>
      </c>
      <c r="H88" s="893">
        <f>G88/F88</f>
        <v>0.98004786007817979</v>
      </c>
      <c r="I88" s="858"/>
      <c r="J88" s="883"/>
      <c r="K88" s="1493"/>
      <c r="L88" s="720"/>
      <c r="M88" s="884"/>
      <c r="N88" s="720"/>
      <c r="O88" s="720"/>
      <c r="P88" s="885"/>
    </row>
    <row r="89" spans="1:16" ht="20.149999999999999" hidden="1" customHeight="1">
      <c r="A89" s="1781"/>
      <c r="B89" s="1779" t="s">
        <v>1342</v>
      </c>
      <c r="C89" s="1838">
        <v>190230443</v>
      </c>
      <c r="D89" s="879" t="s">
        <v>1351</v>
      </c>
      <c r="E89" s="886">
        <v>550.88499999999999</v>
      </c>
      <c r="F89" s="886">
        <v>544.94200000000001</v>
      </c>
      <c r="G89" s="886">
        <v>544.94200000000001</v>
      </c>
      <c r="H89" s="887">
        <f>I89/E89</f>
        <v>1.1013460159561432</v>
      </c>
      <c r="I89" s="858">
        <f>599.435+7.28</f>
        <v>606.71499999999992</v>
      </c>
      <c r="J89" s="883"/>
      <c r="K89" s="1759"/>
      <c r="L89" s="1761"/>
      <c r="M89" s="1818"/>
      <c r="N89" s="1761"/>
      <c r="O89" s="1761"/>
      <c r="P89" s="885"/>
    </row>
    <row r="90" spans="1:16" ht="20.149999999999999" hidden="1" customHeight="1">
      <c r="A90" s="1781"/>
      <c r="B90" s="1779"/>
      <c r="C90" s="1838"/>
      <c r="D90" s="879" t="s">
        <v>1320</v>
      </c>
      <c r="E90" s="888"/>
      <c r="F90" s="888"/>
      <c r="G90" s="888"/>
      <c r="H90" s="887"/>
      <c r="I90" s="863"/>
      <c r="J90" s="883"/>
      <c r="K90" s="1759"/>
      <c r="L90" s="1761"/>
      <c r="M90" s="1818"/>
      <c r="N90" s="1761"/>
      <c r="O90" s="1761"/>
      <c r="P90" s="885"/>
    </row>
    <row r="91" spans="1:16" ht="20.149999999999999" hidden="1" customHeight="1">
      <c r="A91" s="1781"/>
      <c r="B91" s="1779"/>
      <c r="C91" s="1838"/>
      <c r="D91" s="879" t="s">
        <v>668</v>
      </c>
      <c r="E91" s="886">
        <v>9.73</v>
      </c>
      <c r="F91" s="886">
        <v>109.541</v>
      </c>
      <c r="G91" s="886">
        <v>130.10400000000001</v>
      </c>
      <c r="H91" s="887">
        <f>G91/F91</f>
        <v>1.1877196666088499</v>
      </c>
      <c r="I91" s="863">
        <f>38.14-19.17</f>
        <v>18.97</v>
      </c>
      <c r="J91" s="883"/>
      <c r="K91" s="1759"/>
      <c r="L91" s="1761"/>
      <c r="M91" s="1818"/>
      <c r="N91" s="1761"/>
      <c r="O91" s="1761"/>
      <c r="P91" s="885"/>
    </row>
    <row r="92" spans="1:16" ht="20.149999999999999" hidden="1" customHeight="1">
      <c r="A92" s="1781"/>
      <c r="B92" s="1779"/>
      <c r="C92" s="1838"/>
      <c r="D92" s="879" t="s">
        <v>1352</v>
      </c>
      <c r="E92" s="886"/>
      <c r="F92" s="886">
        <v>5.7169999999999996</v>
      </c>
      <c r="G92" s="886">
        <v>5.7169999999999996</v>
      </c>
      <c r="H92" s="887">
        <f>G92/F92</f>
        <v>1</v>
      </c>
      <c r="I92" s="858"/>
      <c r="J92" s="883"/>
      <c r="K92" s="1759"/>
      <c r="L92" s="1761"/>
      <c r="M92" s="1818"/>
      <c r="N92" s="1761"/>
      <c r="O92" s="1761"/>
      <c r="P92" s="885"/>
    </row>
    <row r="93" spans="1:16" ht="20.149999999999999" hidden="1" customHeight="1">
      <c r="A93" s="1781"/>
      <c r="B93" s="1779"/>
      <c r="C93" s="1838"/>
      <c r="D93" s="890" t="s">
        <v>1353</v>
      </c>
      <c r="E93" s="886"/>
      <c r="F93" s="886"/>
      <c r="G93" s="886"/>
      <c r="H93" s="887"/>
      <c r="I93" s="858"/>
      <c r="J93" s="883"/>
      <c r="K93" s="1759"/>
      <c r="L93" s="1761"/>
      <c r="M93" s="1818"/>
      <c r="N93" s="1761"/>
      <c r="O93" s="1761"/>
      <c r="P93" s="885"/>
    </row>
    <row r="94" spans="1:16" ht="30" hidden="1" customHeight="1">
      <c r="A94" s="1781"/>
      <c r="B94" s="1779"/>
      <c r="C94" s="1838"/>
      <c r="D94" s="891" t="s">
        <v>1348</v>
      </c>
      <c r="E94" s="892">
        <f>SUM(E89:E93)</f>
        <v>560.61500000000001</v>
      </c>
      <c r="F94" s="892">
        <f>SUM(F89:F93)</f>
        <v>660.19999999999993</v>
      </c>
      <c r="G94" s="892">
        <f>SUM(G89:G93)</f>
        <v>680.76300000000003</v>
      </c>
      <c r="H94" s="893">
        <f>G94/F94</f>
        <v>1.0311466222356862</v>
      </c>
      <c r="I94" s="858">
        <f t="shared" ref="I94" si="14">SUM(I89:I93)</f>
        <v>625.68499999999995</v>
      </c>
      <c r="J94" s="883"/>
      <c r="K94" s="1494"/>
      <c r="L94" s="720"/>
      <c r="M94" s="884"/>
      <c r="N94" s="720"/>
      <c r="O94" s="720"/>
      <c r="P94" s="885"/>
    </row>
    <row r="95" spans="1:16" ht="20.149999999999999" hidden="1" customHeight="1">
      <c r="A95" s="1781"/>
      <c r="B95" s="1779" t="s">
        <v>1343</v>
      </c>
      <c r="C95" s="1838">
        <v>190231730</v>
      </c>
      <c r="D95" s="879" t="s">
        <v>1351</v>
      </c>
      <c r="E95" s="888">
        <v>419.01499999999999</v>
      </c>
      <c r="F95" s="888">
        <v>430.52</v>
      </c>
      <c r="G95" s="888">
        <v>430.52</v>
      </c>
      <c r="H95" s="887">
        <f>G95/F95</f>
        <v>1</v>
      </c>
      <c r="I95" s="863">
        <v>483.96499999999997</v>
      </c>
      <c r="J95" s="883"/>
      <c r="K95" s="1759"/>
      <c r="L95" s="1761"/>
      <c r="M95" s="1818"/>
      <c r="N95" s="1761"/>
      <c r="O95" s="1761"/>
      <c r="P95" s="885"/>
    </row>
    <row r="96" spans="1:16" ht="20.149999999999999" hidden="1" customHeight="1">
      <c r="A96" s="1781"/>
      <c r="B96" s="1779"/>
      <c r="C96" s="1838"/>
      <c r="D96" s="879" t="s">
        <v>1320</v>
      </c>
      <c r="E96" s="886"/>
      <c r="F96" s="886"/>
      <c r="G96" s="886"/>
      <c r="H96" s="887"/>
      <c r="I96" s="863"/>
      <c r="J96" s="883"/>
      <c r="K96" s="1760"/>
      <c r="L96" s="1761"/>
      <c r="M96" s="1818"/>
      <c r="N96" s="1761"/>
      <c r="O96" s="1761"/>
      <c r="P96" s="885"/>
    </row>
    <row r="97" spans="1:16" ht="20.149999999999999" hidden="1" customHeight="1">
      <c r="A97" s="1781"/>
      <c r="B97" s="1779"/>
      <c r="C97" s="1838"/>
      <c r="D97" s="879" t="s">
        <v>668</v>
      </c>
      <c r="E97" s="886">
        <v>10.029999999999999</v>
      </c>
      <c r="F97" s="886">
        <v>103.455</v>
      </c>
      <c r="G97" s="886">
        <v>104.51300000000001</v>
      </c>
      <c r="H97" s="887">
        <f>G97/F97</f>
        <v>1.0102266685998744</v>
      </c>
      <c r="I97" s="863">
        <f>48.86-10.95</f>
        <v>37.909999999999997</v>
      </c>
      <c r="J97" s="883"/>
      <c r="K97" s="1760"/>
      <c r="L97" s="1761"/>
      <c r="M97" s="1818"/>
      <c r="N97" s="1761"/>
      <c r="O97" s="1761"/>
      <c r="P97" s="885"/>
    </row>
    <row r="98" spans="1:16" ht="20.149999999999999" hidden="1" customHeight="1">
      <c r="A98" s="1781"/>
      <c r="B98" s="1779"/>
      <c r="C98" s="1838"/>
      <c r="D98" s="879" t="s">
        <v>1352</v>
      </c>
      <c r="E98" s="886"/>
      <c r="F98" s="886"/>
      <c r="G98" s="886"/>
      <c r="H98" s="887"/>
      <c r="I98" s="858"/>
      <c r="J98" s="883"/>
      <c r="K98" s="1760"/>
      <c r="L98" s="1761"/>
      <c r="M98" s="1818"/>
      <c r="N98" s="1761"/>
      <c r="O98" s="1761"/>
      <c r="P98" s="885"/>
    </row>
    <row r="99" spans="1:16" ht="20.149999999999999" hidden="1" customHeight="1">
      <c r="A99" s="1781"/>
      <c r="B99" s="1779"/>
      <c r="C99" s="1838"/>
      <c r="D99" s="890" t="s">
        <v>1353</v>
      </c>
      <c r="E99" s="886"/>
      <c r="F99" s="886"/>
      <c r="G99" s="886"/>
      <c r="H99" s="887"/>
      <c r="I99" s="858"/>
      <c r="J99" s="883"/>
      <c r="K99" s="1760"/>
      <c r="L99" s="1761"/>
      <c r="M99" s="1818"/>
      <c r="N99" s="1761"/>
      <c r="O99" s="1761"/>
      <c r="P99" s="885"/>
    </row>
    <row r="100" spans="1:16" ht="30" hidden="1" customHeight="1">
      <c r="A100" s="1781"/>
      <c r="B100" s="1779"/>
      <c r="C100" s="1838"/>
      <c r="D100" s="891" t="s">
        <v>1348</v>
      </c>
      <c r="E100" s="892">
        <f>SUM(E95:E99)</f>
        <v>429.04499999999996</v>
      </c>
      <c r="F100" s="892">
        <f>SUM(F95:F99)</f>
        <v>533.97500000000002</v>
      </c>
      <c r="G100" s="892">
        <f>SUM(G95:G99)</f>
        <v>535.03300000000002</v>
      </c>
      <c r="H100" s="893">
        <f>G100/F100</f>
        <v>1.0019813661688282</v>
      </c>
      <c r="I100" s="858">
        <f t="shared" ref="I100" si="15">SUM(I95:I99)</f>
        <v>521.875</v>
      </c>
      <c r="J100" s="883"/>
      <c r="K100" s="1760"/>
      <c r="L100" s="1761"/>
      <c r="M100" s="1818"/>
      <c r="N100" s="1761"/>
      <c r="O100" s="1761"/>
      <c r="P100" s="885"/>
    </row>
    <row r="101" spans="1:16" ht="20.149999999999999" hidden="1" customHeight="1">
      <c r="A101" s="1781"/>
      <c r="B101" s="1779" t="s">
        <v>1370</v>
      </c>
      <c r="C101" s="1838">
        <v>190231011</v>
      </c>
      <c r="D101" s="879" t="s">
        <v>1351</v>
      </c>
      <c r="E101" s="888">
        <v>448.51</v>
      </c>
      <c r="F101" s="888">
        <v>461.221</v>
      </c>
      <c r="G101" s="888">
        <v>461.221</v>
      </c>
      <c r="H101" s="887">
        <f>G101/F101</f>
        <v>1</v>
      </c>
      <c r="I101" s="863">
        <v>459.17500000000001</v>
      </c>
      <c r="J101" s="883"/>
      <c r="K101" s="1759"/>
      <c r="L101" s="1761"/>
      <c r="M101" s="1818"/>
      <c r="N101" s="1761"/>
      <c r="O101" s="1761"/>
      <c r="P101" s="885"/>
    </row>
    <row r="102" spans="1:16" ht="20.149999999999999" hidden="1" customHeight="1">
      <c r="A102" s="1781"/>
      <c r="B102" s="1779"/>
      <c r="C102" s="1838"/>
      <c r="D102" s="879" t="s">
        <v>1320</v>
      </c>
      <c r="E102" s="886"/>
      <c r="F102" s="886"/>
      <c r="G102" s="886"/>
      <c r="H102" s="887"/>
      <c r="I102" s="863"/>
      <c r="J102" s="883"/>
      <c r="K102" s="1760"/>
      <c r="L102" s="1761"/>
      <c r="M102" s="1818"/>
      <c r="N102" s="1761"/>
      <c r="O102" s="1761"/>
      <c r="P102" s="885"/>
    </row>
    <row r="103" spans="1:16" ht="20.149999999999999" hidden="1" customHeight="1">
      <c r="A103" s="1781"/>
      <c r="B103" s="1779"/>
      <c r="C103" s="1838"/>
      <c r="D103" s="879" t="s">
        <v>668</v>
      </c>
      <c r="E103" s="888">
        <v>15.02</v>
      </c>
      <c r="F103" s="888">
        <v>99.063000000000002</v>
      </c>
      <c r="G103" s="888">
        <v>95.061999999999998</v>
      </c>
      <c r="H103" s="887">
        <f t="shared" ref="H103:H106" si="16">G103/F103</f>
        <v>0.95961156032020023</v>
      </c>
      <c r="I103" s="863">
        <f>85.52-13.7</f>
        <v>71.819999999999993</v>
      </c>
      <c r="J103" s="883"/>
      <c r="K103" s="1760"/>
      <c r="L103" s="1761"/>
      <c r="M103" s="1818"/>
      <c r="N103" s="1761"/>
      <c r="O103" s="1761"/>
      <c r="P103" s="885"/>
    </row>
    <row r="104" spans="1:16" ht="20.149999999999999" hidden="1" customHeight="1">
      <c r="A104" s="1781"/>
      <c r="B104" s="1779"/>
      <c r="C104" s="1838"/>
      <c r="D104" s="879" t="s">
        <v>1352</v>
      </c>
      <c r="E104" s="886"/>
      <c r="F104" s="886">
        <v>8.2439999999999998</v>
      </c>
      <c r="G104" s="886">
        <v>5.2960000000000003</v>
      </c>
      <c r="H104" s="887">
        <f t="shared" si="16"/>
        <v>0.6424065987384765</v>
      </c>
      <c r="I104" s="858"/>
      <c r="J104" s="883"/>
      <c r="K104" s="1760"/>
      <c r="L104" s="1761"/>
      <c r="M104" s="1818"/>
      <c r="N104" s="1761"/>
      <c r="O104" s="1761"/>
      <c r="P104" s="885"/>
    </row>
    <row r="105" spans="1:16" ht="20.149999999999999" hidden="1" customHeight="1">
      <c r="A105" s="1781"/>
      <c r="B105" s="1779"/>
      <c r="C105" s="1838"/>
      <c r="D105" s="890" t="s">
        <v>1353</v>
      </c>
      <c r="E105" s="886"/>
      <c r="F105" s="886"/>
      <c r="G105" s="886"/>
      <c r="H105" s="887"/>
      <c r="I105" s="858"/>
      <c r="J105" s="883"/>
      <c r="K105" s="1760"/>
      <c r="L105" s="1761"/>
      <c r="M105" s="1818"/>
      <c r="N105" s="1761"/>
      <c r="O105" s="1761"/>
      <c r="P105" s="885"/>
    </row>
    <row r="106" spans="1:16" ht="26.25" hidden="1" customHeight="1">
      <c r="A106" s="1781"/>
      <c r="B106" s="1779"/>
      <c r="C106" s="1838"/>
      <c r="D106" s="891" t="s">
        <v>1348</v>
      </c>
      <c r="E106" s="892">
        <f>SUM(E101:E105)</f>
        <v>463.53</v>
      </c>
      <c r="F106" s="892">
        <f>SUM(F101:F105)</f>
        <v>568.52800000000002</v>
      </c>
      <c r="G106" s="892">
        <f>SUM(G101:G105)</f>
        <v>561.57900000000006</v>
      </c>
      <c r="H106" s="893">
        <f t="shared" si="16"/>
        <v>0.98777720710325623</v>
      </c>
      <c r="I106" s="858">
        <f t="shared" ref="I106" si="17">SUM(I101:I105)</f>
        <v>530.995</v>
      </c>
      <c r="J106" s="883"/>
      <c r="K106" s="1760"/>
      <c r="L106" s="1761"/>
      <c r="M106" s="1818"/>
      <c r="N106" s="1761"/>
      <c r="O106" s="1761"/>
      <c r="P106" s="885"/>
    </row>
    <row r="107" spans="1:16" ht="20.149999999999999" hidden="1" customHeight="1">
      <c r="A107" s="1781"/>
      <c r="B107" s="1779" t="s">
        <v>1344</v>
      </c>
      <c r="C107" s="1838">
        <v>190230258</v>
      </c>
      <c r="D107" s="879" t="s">
        <v>1351</v>
      </c>
      <c r="E107" s="888">
        <v>299.5</v>
      </c>
      <c r="F107" s="888">
        <v>307.10000000000002</v>
      </c>
      <c r="G107" s="888">
        <v>307.10000000000002</v>
      </c>
      <c r="H107" s="887">
        <f>G107/F107</f>
        <v>1</v>
      </c>
      <c r="I107" s="863">
        <v>316.97000000000003</v>
      </c>
      <c r="J107" s="883"/>
      <c r="K107" s="1759"/>
      <c r="L107" s="1761"/>
      <c r="M107" s="1818"/>
      <c r="N107" s="1761"/>
      <c r="O107" s="1761"/>
      <c r="P107" s="885"/>
    </row>
    <row r="108" spans="1:16" ht="20.149999999999999" hidden="1" customHeight="1">
      <c r="A108" s="1781"/>
      <c r="B108" s="1779"/>
      <c r="C108" s="1838"/>
      <c r="D108" s="879" t="s">
        <v>1320</v>
      </c>
      <c r="E108" s="886"/>
      <c r="F108" s="886"/>
      <c r="G108" s="886"/>
      <c r="H108" s="887"/>
      <c r="I108" s="863"/>
      <c r="J108" s="883"/>
      <c r="K108" s="1760"/>
      <c r="L108" s="1761"/>
      <c r="M108" s="1818"/>
      <c r="N108" s="1761"/>
      <c r="O108" s="1761"/>
      <c r="P108" s="885"/>
    </row>
    <row r="109" spans="1:16" ht="20.149999999999999" hidden="1" customHeight="1">
      <c r="A109" s="1781"/>
      <c r="B109" s="1779"/>
      <c r="C109" s="1838"/>
      <c r="D109" s="879" t="s">
        <v>668</v>
      </c>
      <c r="E109" s="888">
        <v>22.72</v>
      </c>
      <c r="F109" s="888">
        <v>78.405000000000001</v>
      </c>
      <c r="G109" s="888">
        <v>71.945999999999998</v>
      </c>
      <c r="H109" s="887">
        <f t="shared" ref="H109:H112" si="18">G109/F109</f>
        <v>0.91762004974172562</v>
      </c>
      <c r="I109" s="863">
        <f>57.32-12.05</f>
        <v>45.269999999999996</v>
      </c>
      <c r="J109" s="883"/>
      <c r="K109" s="1760"/>
      <c r="L109" s="1761"/>
      <c r="M109" s="1818"/>
      <c r="N109" s="1761"/>
      <c r="O109" s="1761"/>
      <c r="P109" s="885"/>
    </row>
    <row r="110" spans="1:16" ht="20.149999999999999" hidden="1" customHeight="1">
      <c r="A110" s="1781"/>
      <c r="B110" s="1779"/>
      <c r="C110" s="1838"/>
      <c r="D110" s="879" t="s">
        <v>1352</v>
      </c>
      <c r="E110" s="894"/>
      <c r="F110" s="886">
        <v>12.651</v>
      </c>
      <c r="G110" s="886">
        <v>12.651</v>
      </c>
      <c r="H110" s="887">
        <f t="shared" si="18"/>
        <v>1</v>
      </c>
      <c r="I110" s="858">
        <v>3.2480000000000002</v>
      </c>
      <c r="J110" s="883"/>
      <c r="K110" s="1760"/>
      <c r="L110" s="1761"/>
      <c r="M110" s="1818"/>
      <c r="N110" s="1761"/>
      <c r="O110" s="1761"/>
      <c r="P110" s="885"/>
    </row>
    <row r="111" spans="1:16" ht="20.149999999999999" hidden="1" customHeight="1">
      <c r="A111" s="1781"/>
      <c r="B111" s="1779"/>
      <c r="C111" s="1838"/>
      <c r="D111" s="890" t="s">
        <v>1353</v>
      </c>
      <c r="E111" s="886"/>
      <c r="F111" s="886"/>
      <c r="G111" s="886"/>
      <c r="H111" s="887"/>
      <c r="I111" s="858"/>
      <c r="J111" s="883"/>
      <c r="K111" s="1760"/>
      <c r="L111" s="1761"/>
      <c r="M111" s="1818"/>
      <c r="N111" s="1761"/>
      <c r="O111" s="1761"/>
      <c r="P111" s="885"/>
    </row>
    <row r="112" spans="1:16" ht="27.75" hidden="1" customHeight="1">
      <c r="A112" s="1781"/>
      <c r="B112" s="1779"/>
      <c r="C112" s="1838"/>
      <c r="D112" s="891" t="s">
        <v>1348</v>
      </c>
      <c r="E112" s="892">
        <f>SUM(E107:E111)</f>
        <v>322.22000000000003</v>
      </c>
      <c r="F112" s="892">
        <f>SUM(F107:F111)</f>
        <v>398.15600000000001</v>
      </c>
      <c r="G112" s="892">
        <f>SUM(G107:G111)</f>
        <v>391.69700000000006</v>
      </c>
      <c r="H112" s="893">
        <f t="shared" si="18"/>
        <v>0.98377771526738278</v>
      </c>
      <c r="I112" s="858">
        <f t="shared" ref="I112" si="19">SUM(I107:I111)</f>
        <v>365.488</v>
      </c>
      <c r="J112" s="883"/>
      <c r="K112" s="1760"/>
      <c r="L112" s="1761"/>
      <c r="M112" s="1818"/>
      <c r="N112" s="1761"/>
      <c r="O112" s="1761"/>
      <c r="P112" s="885"/>
    </row>
    <row r="113" spans="1:16" ht="20.149999999999999" hidden="1" customHeight="1">
      <c r="A113" s="1781"/>
      <c r="B113" s="1779" t="s">
        <v>1375</v>
      </c>
      <c r="C113" s="1838">
        <v>190243280</v>
      </c>
      <c r="D113" s="879" t="s">
        <v>1351</v>
      </c>
      <c r="E113" s="888">
        <v>756.56500000000005</v>
      </c>
      <c r="F113" s="888">
        <v>766.39800000000002</v>
      </c>
      <c r="G113" s="888">
        <v>766.399</v>
      </c>
      <c r="H113" s="887">
        <f>G113/F113</f>
        <v>1.0000013048050751</v>
      </c>
      <c r="I113" s="863">
        <v>836.83</v>
      </c>
      <c r="J113" s="883"/>
      <c r="K113" s="1759"/>
      <c r="L113" s="1761"/>
      <c r="M113" s="1818"/>
      <c r="N113" s="1761"/>
      <c r="O113" s="1761"/>
      <c r="P113" s="885"/>
    </row>
    <row r="114" spans="1:16" ht="20.149999999999999" hidden="1" customHeight="1">
      <c r="A114" s="1781"/>
      <c r="B114" s="1779"/>
      <c r="C114" s="1838"/>
      <c r="D114" s="879" t="s">
        <v>1320</v>
      </c>
      <c r="E114" s="886"/>
      <c r="F114" s="886"/>
      <c r="G114" s="886"/>
      <c r="H114" s="887"/>
      <c r="I114" s="863"/>
      <c r="J114" s="883"/>
      <c r="K114" s="1760"/>
      <c r="L114" s="1761"/>
      <c r="M114" s="1818"/>
      <c r="N114" s="1761"/>
      <c r="O114" s="1761"/>
      <c r="P114" s="885"/>
    </row>
    <row r="115" spans="1:16" ht="20.149999999999999" hidden="1" customHeight="1">
      <c r="A115" s="1781"/>
      <c r="B115" s="1779"/>
      <c r="C115" s="1838"/>
      <c r="D115" s="879" t="s">
        <v>668</v>
      </c>
      <c r="E115" s="886"/>
      <c r="F115" s="886"/>
      <c r="G115" s="886"/>
      <c r="H115" s="887"/>
      <c r="I115" s="858"/>
      <c r="J115" s="883"/>
      <c r="K115" s="1760"/>
      <c r="L115" s="1761"/>
      <c r="M115" s="1818"/>
      <c r="N115" s="1761"/>
      <c r="O115" s="1761"/>
      <c r="P115" s="885"/>
    </row>
    <row r="116" spans="1:16" ht="20.149999999999999" hidden="1" customHeight="1">
      <c r="A116" s="1781"/>
      <c r="B116" s="1779"/>
      <c r="C116" s="1838"/>
      <c r="D116" s="879" t="s">
        <v>1352</v>
      </c>
      <c r="E116" s="894"/>
      <c r="F116" s="886">
        <v>7.44</v>
      </c>
      <c r="G116" s="886">
        <v>7.44</v>
      </c>
      <c r="H116" s="887">
        <f>G116/F116</f>
        <v>1</v>
      </c>
      <c r="I116" s="858"/>
      <c r="J116" s="883"/>
      <c r="K116" s="1760"/>
      <c r="L116" s="1761"/>
      <c r="M116" s="1818"/>
      <c r="N116" s="1761"/>
      <c r="O116" s="1761"/>
      <c r="P116" s="885"/>
    </row>
    <row r="117" spans="1:16" ht="20.149999999999999" hidden="1" customHeight="1">
      <c r="A117" s="1781"/>
      <c r="B117" s="1779"/>
      <c r="C117" s="1838"/>
      <c r="D117" s="890" t="s">
        <v>1353</v>
      </c>
      <c r="E117" s="886"/>
      <c r="F117" s="886"/>
      <c r="G117" s="886"/>
      <c r="H117" s="887"/>
      <c r="I117" s="858"/>
      <c r="J117" s="883"/>
      <c r="K117" s="1760"/>
      <c r="L117" s="1761"/>
      <c r="M117" s="1818"/>
      <c r="N117" s="1761"/>
      <c r="O117" s="1761"/>
      <c r="P117" s="885"/>
    </row>
    <row r="118" spans="1:16" ht="23.25" hidden="1" customHeight="1">
      <c r="A118" s="1781"/>
      <c r="B118" s="1779"/>
      <c r="C118" s="1838"/>
      <c r="D118" s="891" t="s">
        <v>1348</v>
      </c>
      <c r="E118" s="892">
        <f>SUM(E113:E117)</f>
        <v>756.56500000000005</v>
      </c>
      <c r="F118" s="892">
        <f>SUM(F113:F117)</f>
        <v>773.83800000000008</v>
      </c>
      <c r="G118" s="892">
        <f>SUM(G113:G117)</f>
        <v>773.83900000000006</v>
      </c>
      <c r="H118" s="893">
        <f>G118/F118</f>
        <v>1.0000012922601371</v>
      </c>
      <c r="I118" s="858">
        <f t="shared" ref="I118" si="20">SUM(I113:I117)</f>
        <v>836.83</v>
      </c>
      <c r="J118" s="883"/>
      <c r="K118" s="1760"/>
      <c r="L118" s="1761"/>
      <c r="M118" s="1818"/>
      <c r="N118" s="1761"/>
      <c r="O118" s="1761"/>
      <c r="P118" s="885"/>
    </row>
    <row r="119" spans="1:16" ht="20.149999999999999" hidden="1" customHeight="1">
      <c r="A119" s="1781"/>
      <c r="B119" s="1779" t="s">
        <v>1345</v>
      </c>
      <c r="C119" s="1838">
        <v>300135691</v>
      </c>
      <c r="D119" s="879" t="s">
        <v>1351</v>
      </c>
      <c r="E119" s="886">
        <v>1114.8</v>
      </c>
      <c r="F119" s="886">
        <v>1112.8720000000001</v>
      </c>
      <c r="G119" s="886">
        <v>1112.8720000000001</v>
      </c>
      <c r="H119" s="887">
        <f>G119/F119</f>
        <v>1</v>
      </c>
      <c r="I119" s="863">
        <v>1188.655</v>
      </c>
      <c r="J119" s="883"/>
      <c r="K119" s="1759"/>
      <c r="L119" s="1761"/>
      <c r="M119" s="1818"/>
      <c r="N119" s="1761"/>
      <c r="O119" s="1761"/>
      <c r="P119" s="885"/>
    </row>
    <row r="120" spans="1:16" ht="20.149999999999999" hidden="1" customHeight="1">
      <c r="A120" s="1781"/>
      <c r="B120" s="1779"/>
      <c r="C120" s="1838"/>
      <c r="D120" s="879" t="s">
        <v>1320</v>
      </c>
      <c r="E120" s="886"/>
      <c r="F120" s="886"/>
      <c r="G120" s="886"/>
      <c r="H120" s="887"/>
      <c r="I120" s="863"/>
      <c r="J120" s="883"/>
      <c r="K120" s="1760"/>
      <c r="L120" s="1761"/>
      <c r="M120" s="1818"/>
      <c r="N120" s="1761"/>
      <c r="O120" s="1761"/>
      <c r="P120" s="885"/>
    </row>
    <row r="121" spans="1:16" ht="20.149999999999999" hidden="1" customHeight="1">
      <c r="A121" s="1781"/>
      <c r="B121" s="1779"/>
      <c r="C121" s="1838"/>
      <c r="D121" s="879" t="s">
        <v>668</v>
      </c>
      <c r="E121" s="886"/>
      <c r="F121" s="886"/>
      <c r="G121" s="886"/>
      <c r="H121" s="887"/>
      <c r="I121" s="863">
        <v>6.93</v>
      </c>
      <c r="J121" s="883"/>
      <c r="K121" s="1760"/>
      <c r="L121" s="1761"/>
      <c r="M121" s="1818"/>
      <c r="N121" s="1761"/>
      <c r="O121" s="1761"/>
      <c r="P121" s="885"/>
    </row>
    <row r="122" spans="1:16" ht="20.149999999999999" hidden="1" customHeight="1">
      <c r="A122" s="1781"/>
      <c r="B122" s="1779"/>
      <c r="C122" s="1838"/>
      <c r="D122" s="879" t="s">
        <v>1352</v>
      </c>
      <c r="E122" s="886"/>
      <c r="F122" s="886">
        <v>18.367999999999999</v>
      </c>
      <c r="G122" s="886">
        <v>18.367999999999999</v>
      </c>
      <c r="H122" s="887">
        <f>G122/F122</f>
        <v>1</v>
      </c>
      <c r="I122" s="858"/>
      <c r="J122" s="883"/>
      <c r="K122" s="1760"/>
      <c r="L122" s="1761"/>
      <c r="M122" s="1818"/>
      <c r="N122" s="1761"/>
      <c r="O122" s="1761"/>
      <c r="P122" s="885"/>
    </row>
    <row r="123" spans="1:16" ht="20.149999999999999" hidden="1" customHeight="1">
      <c r="A123" s="1781"/>
      <c r="B123" s="1779"/>
      <c r="C123" s="1838"/>
      <c r="D123" s="890" t="s">
        <v>1353</v>
      </c>
      <c r="E123" s="886"/>
      <c r="F123" s="886"/>
      <c r="G123" s="886"/>
      <c r="H123" s="887"/>
      <c r="I123" s="858"/>
      <c r="J123" s="883"/>
      <c r="K123" s="1760"/>
      <c r="L123" s="1761"/>
      <c r="M123" s="1818"/>
      <c r="N123" s="1761"/>
      <c r="O123" s="1761"/>
      <c r="P123" s="885"/>
    </row>
    <row r="124" spans="1:16" ht="29.25" hidden="1" customHeight="1">
      <c r="A124" s="1781"/>
      <c r="B124" s="1779"/>
      <c r="C124" s="1838"/>
      <c r="D124" s="891" t="s">
        <v>1348</v>
      </c>
      <c r="E124" s="892">
        <f>SUM(E119:E123)</f>
        <v>1114.8</v>
      </c>
      <c r="F124" s="892">
        <f>SUM(F119:F123)</f>
        <v>1131.24</v>
      </c>
      <c r="G124" s="892">
        <f>SUM(G119:G123)</f>
        <v>1131.24</v>
      </c>
      <c r="H124" s="893">
        <f>G124/F124</f>
        <v>1</v>
      </c>
      <c r="I124" s="858">
        <f t="shared" ref="I124" si="21">SUM(I119:I123)</f>
        <v>1195.585</v>
      </c>
      <c r="J124" s="883"/>
      <c r="K124" s="1760"/>
      <c r="L124" s="1761"/>
      <c r="M124" s="1818"/>
      <c r="N124" s="1761"/>
      <c r="O124" s="1761"/>
      <c r="P124" s="885"/>
    </row>
    <row r="125" spans="1:16" ht="20.149999999999999" hidden="1" customHeight="1">
      <c r="A125" s="1781"/>
      <c r="B125" s="1779" t="s">
        <v>1372</v>
      </c>
      <c r="C125" s="1838">
        <v>190243095</v>
      </c>
      <c r="D125" s="879" t="s">
        <v>1351</v>
      </c>
      <c r="E125" s="888">
        <v>1315.5</v>
      </c>
      <c r="F125" s="888">
        <v>1354.1320000000001</v>
      </c>
      <c r="G125" s="888">
        <v>1354.1320000000001</v>
      </c>
      <c r="H125" s="887">
        <f>G125/F125</f>
        <v>1</v>
      </c>
      <c r="I125" s="863">
        <v>1412.665</v>
      </c>
      <c r="J125" s="883"/>
      <c r="K125" s="1759"/>
      <c r="L125" s="1761"/>
      <c r="M125" s="1818"/>
      <c r="N125" s="1761"/>
      <c r="O125" s="1761"/>
      <c r="P125" s="885"/>
    </row>
    <row r="126" spans="1:16" ht="20.149999999999999" hidden="1" customHeight="1">
      <c r="A126" s="1781"/>
      <c r="B126" s="1779"/>
      <c r="C126" s="1838"/>
      <c r="D126" s="879" t="s">
        <v>1320</v>
      </c>
      <c r="E126" s="886"/>
      <c r="F126" s="886"/>
      <c r="G126" s="886"/>
      <c r="H126" s="887"/>
      <c r="I126" s="863"/>
      <c r="J126" s="883"/>
      <c r="K126" s="1760"/>
      <c r="L126" s="1761"/>
      <c r="M126" s="1818"/>
      <c r="N126" s="1761"/>
      <c r="O126" s="1761"/>
      <c r="P126" s="885"/>
    </row>
    <row r="127" spans="1:16" ht="20.149999999999999" hidden="1" customHeight="1">
      <c r="A127" s="1781"/>
      <c r="B127" s="1779"/>
      <c r="C127" s="1838"/>
      <c r="D127" s="879" t="s">
        <v>668</v>
      </c>
      <c r="E127" s="888">
        <v>22.41</v>
      </c>
      <c r="F127" s="888">
        <v>22.41</v>
      </c>
      <c r="G127" s="888">
        <v>22.41</v>
      </c>
      <c r="H127" s="887">
        <f>G127/F127</f>
        <v>1</v>
      </c>
      <c r="I127" s="863">
        <v>52.43</v>
      </c>
      <c r="J127" s="883"/>
      <c r="K127" s="1760"/>
      <c r="L127" s="1761"/>
      <c r="M127" s="1818"/>
      <c r="N127" s="1761"/>
      <c r="O127" s="1761"/>
      <c r="P127" s="885"/>
    </row>
    <row r="128" spans="1:16" ht="20.149999999999999" hidden="1" customHeight="1">
      <c r="A128" s="1781"/>
      <c r="B128" s="1779"/>
      <c r="C128" s="1838"/>
      <c r="D128" s="879" t="s">
        <v>1352</v>
      </c>
      <c r="E128" s="886"/>
      <c r="F128" s="886">
        <v>6.3920000000000003</v>
      </c>
      <c r="G128" s="886">
        <v>6.3920000000000003</v>
      </c>
      <c r="H128" s="887">
        <f>G128/F128</f>
        <v>1</v>
      </c>
      <c r="I128" s="858"/>
      <c r="J128" s="883"/>
      <c r="K128" s="1760"/>
      <c r="L128" s="1761"/>
      <c r="M128" s="1818"/>
      <c r="N128" s="1761"/>
      <c r="O128" s="1761"/>
      <c r="P128" s="885"/>
    </row>
    <row r="129" spans="1:16" ht="20.149999999999999" hidden="1" customHeight="1">
      <c r="A129" s="1781"/>
      <c r="B129" s="1779"/>
      <c r="C129" s="1838"/>
      <c r="D129" s="890" t="s">
        <v>1353</v>
      </c>
      <c r="E129" s="886"/>
      <c r="F129" s="886"/>
      <c r="G129" s="886"/>
      <c r="H129" s="887"/>
      <c r="I129" s="858"/>
      <c r="J129" s="883"/>
      <c r="K129" s="1760"/>
      <c r="L129" s="1761"/>
      <c r="M129" s="1818"/>
      <c r="N129" s="1761"/>
      <c r="O129" s="1761"/>
      <c r="P129" s="885"/>
    </row>
    <row r="130" spans="1:16" ht="20.149999999999999" hidden="1" customHeight="1">
      <c r="A130" s="1781"/>
      <c r="B130" s="1779"/>
      <c r="C130" s="1838"/>
      <c r="D130" s="891" t="s">
        <v>1348</v>
      </c>
      <c r="E130" s="892">
        <f>SUM(E125:E129)</f>
        <v>1337.91</v>
      </c>
      <c r="F130" s="892">
        <f t="shared" ref="F130:G130" si="22">SUM(F125:F129)</f>
        <v>1382.9340000000002</v>
      </c>
      <c r="G130" s="892">
        <f t="shared" si="22"/>
        <v>1382.9340000000002</v>
      </c>
      <c r="H130" s="895">
        <f>G130/F130</f>
        <v>1</v>
      </c>
      <c r="I130" s="858">
        <f t="shared" ref="I130" si="23">SUM(I125:I129)</f>
        <v>1465.095</v>
      </c>
      <c r="J130" s="883"/>
      <c r="K130" s="1760"/>
      <c r="L130" s="1761"/>
      <c r="M130" s="1818"/>
      <c r="N130" s="1761"/>
      <c r="O130" s="1761"/>
      <c r="P130" s="885"/>
    </row>
    <row r="131" spans="1:16" ht="20.149999999999999" hidden="1" customHeight="1">
      <c r="A131" s="1781"/>
      <c r="B131" s="1779" t="s">
        <v>1346</v>
      </c>
      <c r="C131" s="1838">
        <v>190243519</v>
      </c>
      <c r="D131" s="879" t="s">
        <v>1351</v>
      </c>
      <c r="E131" s="888">
        <v>1486.16</v>
      </c>
      <c r="F131" s="888">
        <v>1564.174</v>
      </c>
      <c r="G131" s="888">
        <v>1564.174</v>
      </c>
      <c r="H131" s="887">
        <f>G131/F131</f>
        <v>1</v>
      </c>
      <c r="I131" s="863">
        <v>1810.5650000000001</v>
      </c>
      <c r="J131" s="883"/>
      <c r="K131" s="1759"/>
      <c r="L131" s="1761"/>
      <c r="M131" s="1818"/>
      <c r="N131" s="1761"/>
      <c r="O131" s="1761"/>
      <c r="P131" s="885"/>
    </row>
    <row r="132" spans="1:16" ht="20.149999999999999" hidden="1" customHeight="1">
      <c r="A132" s="1781"/>
      <c r="B132" s="1779"/>
      <c r="C132" s="1838"/>
      <c r="D132" s="879" t="s">
        <v>1320</v>
      </c>
      <c r="E132" s="886"/>
      <c r="F132" s="886"/>
      <c r="G132" s="886"/>
      <c r="H132" s="887"/>
      <c r="I132" s="863"/>
      <c r="J132" s="883"/>
      <c r="K132" s="1760"/>
      <c r="L132" s="1761"/>
      <c r="M132" s="1818"/>
      <c r="N132" s="1761"/>
      <c r="O132" s="1761"/>
      <c r="P132" s="885"/>
    </row>
    <row r="133" spans="1:16" ht="20.149999999999999" hidden="1" customHeight="1">
      <c r="A133" s="1781"/>
      <c r="B133" s="1779"/>
      <c r="C133" s="1838"/>
      <c r="D133" s="879" t="s">
        <v>668</v>
      </c>
      <c r="E133" s="886">
        <v>19.21</v>
      </c>
      <c r="F133" s="886">
        <v>22.545000000000002</v>
      </c>
      <c r="G133" s="886">
        <v>21.204999999999998</v>
      </c>
      <c r="H133" s="887">
        <f>G133/F133</f>
        <v>0.94056331780882663</v>
      </c>
      <c r="I133" s="863">
        <v>44.82</v>
      </c>
      <c r="J133" s="883"/>
      <c r="K133" s="1760"/>
      <c r="L133" s="1761"/>
      <c r="M133" s="1818"/>
      <c r="N133" s="1761"/>
      <c r="O133" s="1761"/>
      <c r="P133" s="885"/>
    </row>
    <row r="134" spans="1:16" ht="20.149999999999999" hidden="1" customHeight="1">
      <c r="A134" s="1781"/>
      <c r="B134" s="1779"/>
      <c r="C134" s="1838"/>
      <c r="D134" s="879" t="s">
        <v>1352</v>
      </c>
      <c r="E134" s="886"/>
      <c r="F134" s="886">
        <v>1.5169999999999999</v>
      </c>
      <c r="G134" s="886">
        <v>1.5169999999999999</v>
      </c>
      <c r="H134" s="887">
        <f>G134/F134</f>
        <v>1</v>
      </c>
      <c r="I134" s="858">
        <v>39</v>
      </c>
      <c r="J134" s="883"/>
      <c r="K134" s="1760"/>
      <c r="L134" s="1761"/>
      <c r="M134" s="1818"/>
      <c r="N134" s="1761"/>
      <c r="O134" s="1761"/>
      <c r="P134" s="885"/>
    </row>
    <row r="135" spans="1:16" ht="20.149999999999999" hidden="1" customHeight="1">
      <c r="A135" s="1781"/>
      <c r="B135" s="1779"/>
      <c r="C135" s="1838"/>
      <c r="D135" s="890" t="s">
        <v>1353</v>
      </c>
      <c r="E135" s="886"/>
      <c r="F135" s="886"/>
      <c r="G135" s="886"/>
      <c r="H135" s="887"/>
      <c r="I135" s="858"/>
      <c r="J135" s="883"/>
      <c r="K135" s="1760"/>
      <c r="L135" s="1761"/>
      <c r="M135" s="1818"/>
      <c r="N135" s="1761"/>
      <c r="O135" s="1761"/>
      <c r="P135" s="885"/>
    </row>
    <row r="136" spans="1:16" ht="29.25" hidden="1" customHeight="1">
      <c r="A136" s="1781"/>
      <c r="B136" s="1779"/>
      <c r="C136" s="1838"/>
      <c r="D136" s="896" t="s">
        <v>1348</v>
      </c>
      <c r="E136" s="892">
        <f>SUM(E131:E135)</f>
        <v>1505.3700000000001</v>
      </c>
      <c r="F136" s="892">
        <f t="shared" ref="F136:G136" si="24">SUM(F131:F135)</f>
        <v>1588.2360000000001</v>
      </c>
      <c r="G136" s="892">
        <f t="shared" si="24"/>
        <v>1586.896</v>
      </c>
      <c r="H136" s="893">
        <f>G136/F136</f>
        <v>0.99915629667127548</v>
      </c>
      <c r="I136" s="858">
        <f t="shared" ref="I136" si="25">SUM(I131:I135)</f>
        <v>1894.385</v>
      </c>
      <c r="J136" s="883"/>
      <c r="K136" s="1760"/>
      <c r="L136" s="1761"/>
      <c r="M136" s="1818"/>
      <c r="N136" s="1761"/>
      <c r="O136" s="1761"/>
      <c r="P136" s="885"/>
    </row>
    <row r="137" spans="1:16" ht="20.149999999999999" hidden="1" customHeight="1">
      <c r="A137" s="1781"/>
      <c r="B137" s="1779" t="s">
        <v>1373</v>
      </c>
      <c r="C137" s="1838">
        <v>193170510</v>
      </c>
      <c r="D137" s="879" t="s">
        <v>1351</v>
      </c>
      <c r="E137" s="888">
        <v>817.91</v>
      </c>
      <c r="F137" s="888">
        <v>840.39200000000005</v>
      </c>
      <c r="G137" s="888">
        <v>840.39200000000005</v>
      </c>
      <c r="H137" s="887">
        <f>G137/F137</f>
        <v>1</v>
      </c>
      <c r="I137" s="863">
        <v>971.59</v>
      </c>
      <c r="J137" s="883"/>
      <c r="K137" s="1759"/>
      <c r="L137" s="1761"/>
      <c r="M137" s="1818"/>
      <c r="N137" s="1761"/>
      <c r="O137" s="1761"/>
      <c r="P137" s="885"/>
    </row>
    <row r="138" spans="1:16" ht="20.149999999999999" hidden="1" customHeight="1">
      <c r="A138" s="1781"/>
      <c r="B138" s="1779"/>
      <c r="C138" s="1838"/>
      <c r="D138" s="879" t="s">
        <v>1320</v>
      </c>
      <c r="E138" s="886"/>
      <c r="F138" s="886"/>
      <c r="G138" s="886"/>
      <c r="H138" s="887"/>
      <c r="I138" s="863"/>
      <c r="J138" s="883"/>
      <c r="K138" s="1760"/>
      <c r="L138" s="1761"/>
      <c r="M138" s="1818"/>
      <c r="N138" s="1761"/>
      <c r="O138" s="1761"/>
      <c r="P138" s="885"/>
    </row>
    <row r="139" spans="1:16" ht="20.149999999999999" hidden="1" customHeight="1">
      <c r="A139" s="1781"/>
      <c r="B139" s="1779"/>
      <c r="C139" s="1838"/>
      <c r="D139" s="879" t="s">
        <v>668</v>
      </c>
      <c r="E139" s="888">
        <v>19.18</v>
      </c>
      <c r="F139" s="888">
        <v>19.18</v>
      </c>
      <c r="G139" s="888">
        <v>12.731999999999999</v>
      </c>
      <c r="H139" s="887">
        <f>G139/F139</f>
        <v>0.66381647549530753</v>
      </c>
      <c r="I139" s="863">
        <v>37</v>
      </c>
      <c r="J139" s="883"/>
      <c r="K139" s="1760"/>
      <c r="L139" s="1761"/>
      <c r="M139" s="1818"/>
      <c r="N139" s="1761"/>
      <c r="O139" s="1761"/>
      <c r="P139" s="885"/>
    </row>
    <row r="140" spans="1:16" ht="20.149999999999999" hidden="1" customHeight="1">
      <c r="A140" s="1781"/>
      <c r="B140" s="1779"/>
      <c r="C140" s="1838"/>
      <c r="D140" s="879" t="s">
        <v>1352</v>
      </c>
      <c r="E140" s="886"/>
      <c r="F140" s="886">
        <v>0.51700000000000002</v>
      </c>
      <c r="G140" s="886">
        <v>0.51700000000000002</v>
      </c>
      <c r="H140" s="887">
        <f>G140/F140</f>
        <v>1</v>
      </c>
      <c r="I140" s="858"/>
      <c r="J140" s="883"/>
      <c r="K140" s="1760"/>
      <c r="L140" s="1761"/>
      <c r="M140" s="1818"/>
      <c r="N140" s="1761"/>
      <c r="O140" s="1761"/>
      <c r="P140" s="885"/>
    </row>
    <row r="141" spans="1:16" ht="20.149999999999999" hidden="1" customHeight="1">
      <c r="A141" s="1781"/>
      <c r="B141" s="1779"/>
      <c r="C141" s="1838"/>
      <c r="D141" s="890" t="s">
        <v>1353</v>
      </c>
      <c r="E141" s="886"/>
      <c r="F141" s="897">
        <v>0.5</v>
      </c>
      <c r="G141" s="897">
        <v>0.5</v>
      </c>
      <c r="H141" s="887"/>
      <c r="I141" s="858"/>
      <c r="J141" s="883"/>
      <c r="K141" s="1760"/>
      <c r="L141" s="1761"/>
      <c r="M141" s="1818"/>
      <c r="N141" s="1761"/>
      <c r="O141" s="1761"/>
      <c r="P141" s="885"/>
    </row>
    <row r="142" spans="1:16" ht="26.25" hidden="1" customHeight="1">
      <c r="A142" s="1781"/>
      <c r="B142" s="1779"/>
      <c r="C142" s="1838"/>
      <c r="D142" s="891" t="s">
        <v>1348</v>
      </c>
      <c r="E142" s="892">
        <f>SUM(E137:E141)</f>
        <v>837.08999999999992</v>
      </c>
      <c r="F142" s="892">
        <f t="shared" ref="F142:G142" si="26">SUM(F137:F141)</f>
        <v>860.58900000000006</v>
      </c>
      <c r="G142" s="892">
        <f t="shared" si="26"/>
        <v>854.14100000000008</v>
      </c>
      <c r="H142" s="895">
        <f>G142/F142</f>
        <v>0.99250745710205457</v>
      </c>
      <c r="I142" s="858">
        <f t="shared" ref="I142" si="27">SUM(I137:I141)</f>
        <v>1008.59</v>
      </c>
      <c r="J142" s="883"/>
      <c r="K142" s="1760"/>
      <c r="L142" s="1761"/>
      <c r="M142" s="1818"/>
      <c r="N142" s="1761"/>
      <c r="O142" s="1761"/>
      <c r="P142" s="885"/>
    </row>
    <row r="143" spans="1:16" ht="20.149999999999999" hidden="1" customHeight="1">
      <c r="A143" s="1781"/>
      <c r="B143" s="1779" t="s">
        <v>1347</v>
      </c>
      <c r="C143" s="1838">
        <v>305632124</v>
      </c>
      <c r="D143" s="879" t="s">
        <v>1351</v>
      </c>
      <c r="E143" s="888">
        <v>20.27</v>
      </c>
      <c r="F143" s="888">
        <v>19.899999999999999</v>
      </c>
      <c r="G143" s="888">
        <v>19.899999999999999</v>
      </c>
      <c r="H143" s="887">
        <f>G143/F143</f>
        <v>1</v>
      </c>
      <c r="I143" s="858">
        <v>19.34</v>
      </c>
      <c r="J143" s="883"/>
      <c r="K143" s="1759"/>
      <c r="L143" s="1761"/>
      <c r="M143" s="1818"/>
      <c r="N143" s="1761"/>
      <c r="O143" s="1761"/>
      <c r="P143" s="885"/>
    </row>
    <row r="144" spans="1:16" ht="20.149999999999999" hidden="1" customHeight="1">
      <c r="A144" s="1781"/>
      <c r="B144" s="1779"/>
      <c r="C144" s="1838"/>
      <c r="D144" s="879" t="s">
        <v>1320</v>
      </c>
      <c r="E144" s="886"/>
      <c r="F144" s="886">
        <v>63.726999999999997</v>
      </c>
      <c r="G144" s="886">
        <v>63.726999999999997</v>
      </c>
      <c r="H144" s="887">
        <f>G144/F144</f>
        <v>1</v>
      </c>
      <c r="I144" s="858">
        <v>0</v>
      </c>
      <c r="J144" s="883"/>
      <c r="K144" s="1760"/>
      <c r="L144" s="1761"/>
      <c r="M144" s="1818"/>
      <c r="N144" s="1761"/>
      <c r="O144" s="1761"/>
      <c r="P144" s="885"/>
    </row>
    <row r="145" spans="1:16" ht="20.149999999999999" hidden="1" customHeight="1">
      <c r="A145" s="1781"/>
      <c r="B145" s="1779"/>
      <c r="C145" s="1838"/>
      <c r="D145" s="879" t="s">
        <v>668</v>
      </c>
      <c r="E145" s="886"/>
      <c r="F145" s="886">
        <v>1093.588</v>
      </c>
      <c r="G145" s="886">
        <v>1093.1590000000001</v>
      </c>
      <c r="H145" s="887">
        <f>G145/F145</f>
        <v>0.99960771332531095</v>
      </c>
      <c r="I145" s="858">
        <v>0</v>
      </c>
      <c r="J145" s="883"/>
      <c r="K145" s="1760"/>
      <c r="L145" s="1761"/>
      <c r="M145" s="1818"/>
      <c r="N145" s="1761"/>
      <c r="O145" s="1761"/>
      <c r="P145" s="885"/>
    </row>
    <row r="146" spans="1:16" ht="20.149999999999999" hidden="1" customHeight="1">
      <c r="A146" s="1781"/>
      <c r="B146" s="1779"/>
      <c r="C146" s="1838"/>
      <c r="D146" s="879" t="s">
        <v>1352</v>
      </c>
      <c r="E146" s="886"/>
      <c r="F146" s="886"/>
      <c r="G146" s="886"/>
      <c r="H146" s="887"/>
      <c r="I146" s="858"/>
      <c r="J146" s="883"/>
      <c r="K146" s="1760"/>
      <c r="L146" s="1761"/>
      <c r="M146" s="1818"/>
      <c r="N146" s="1761"/>
      <c r="O146" s="1761"/>
      <c r="P146" s="885"/>
    </row>
    <row r="147" spans="1:16" ht="20.149999999999999" hidden="1" customHeight="1">
      <c r="A147" s="1781"/>
      <c r="B147" s="1779"/>
      <c r="C147" s="1838"/>
      <c r="D147" s="890" t="s">
        <v>1353</v>
      </c>
      <c r="E147" s="886"/>
      <c r="F147" s="886"/>
      <c r="G147" s="886"/>
      <c r="H147" s="887"/>
      <c r="I147" s="858"/>
      <c r="J147" s="883"/>
      <c r="K147" s="1760"/>
      <c r="L147" s="1761"/>
      <c r="M147" s="1818"/>
      <c r="N147" s="1761"/>
      <c r="O147" s="1761"/>
      <c r="P147" s="885"/>
    </row>
    <row r="148" spans="1:16" ht="26.25" hidden="1" customHeight="1">
      <c r="A148" s="1781"/>
      <c r="B148" s="1779"/>
      <c r="C148" s="1838"/>
      <c r="D148" s="891" t="s">
        <v>1348</v>
      </c>
      <c r="E148" s="892">
        <f>SUM(E143:E147)</f>
        <v>20.27</v>
      </c>
      <c r="F148" s="892">
        <f t="shared" ref="F148:G148" si="28">SUM(F143:F147)</f>
        <v>1177.2149999999999</v>
      </c>
      <c r="G148" s="892">
        <f t="shared" si="28"/>
        <v>1176.7860000000001</v>
      </c>
      <c r="H148" s="893">
        <f>G148/F148</f>
        <v>0.99963558058638413</v>
      </c>
      <c r="I148" s="858">
        <f t="shared" ref="I148" si="29">SUM(I143:I147)</f>
        <v>19.34</v>
      </c>
      <c r="J148" s="883"/>
      <c r="K148" s="1760"/>
      <c r="L148" s="1761"/>
      <c r="M148" s="1818"/>
      <c r="N148" s="1761"/>
      <c r="O148" s="1761"/>
      <c r="P148" s="885"/>
    </row>
    <row r="149" spans="1:16" ht="20.149999999999999" hidden="1" customHeight="1">
      <c r="A149" s="1781"/>
      <c r="B149" s="1779" t="s">
        <v>1354</v>
      </c>
      <c r="C149" s="1838">
        <v>300665693</v>
      </c>
      <c r="D149" s="879" t="s">
        <v>1351</v>
      </c>
      <c r="E149" s="886">
        <v>84.99</v>
      </c>
      <c r="F149" s="886">
        <v>81.02</v>
      </c>
      <c r="G149" s="886">
        <v>81.02</v>
      </c>
      <c r="H149" s="887">
        <f>G149/F149</f>
        <v>1</v>
      </c>
      <c r="I149" s="863">
        <v>89.73</v>
      </c>
      <c r="J149" s="883"/>
      <c r="K149" s="1759"/>
      <c r="L149" s="1817"/>
      <c r="M149" s="1818"/>
      <c r="N149" s="1817"/>
      <c r="O149" s="1817"/>
      <c r="P149" s="885"/>
    </row>
    <row r="150" spans="1:16" ht="20.149999999999999" hidden="1" customHeight="1">
      <c r="A150" s="1781"/>
      <c r="B150" s="1779"/>
      <c r="C150" s="1838"/>
      <c r="D150" s="879" t="s">
        <v>1320</v>
      </c>
      <c r="E150" s="886"/>
      <c r="F150" s="886"/>
      <c r="G150" s="886"/>
      <c r="H150" s="887"/>
      <c r="I150" s="863"/>
      <c r="J150" s="883"/>
      <c r="K150" s="1760"/>
      <c r="L150" s="1817"/>
      <c r="M150" s="1818"/>
      <c r="N150" s="1817"/>
      <c r="O150" s="1817"/>
      <c r="P150" s="885"/>
    </row>
    <row r="151" spans="1:16" ht="20.149999999999999" hidden="1" customHeight="1">
      <c r="A151" s="1781"/>
      <c r="B151" s="1779"/>
      <c r="C151" s="1838"/>
      <c r="D151" s="879" t="s">
        <v>668</v>
      </c>
      <c r="E151" s="888">
        <v>112.74</v>
      </c>
      <c r="F151" s="888">
        <v>124.91</v>
      </c>
      <c r="G151" s="888">
        <v>124.756</v>
      </c>
      <c r="H151" s="887">
        <f>G151/F151</f>
        <v>0.99876711232087101</v>
      </c>
      <c r="I151" s="863">
        <f>71.93+68.47</f>
        <v>140.4</v>
      </c>
      <c r="J151" s="883"/>
      <c r="K151" s="1760"/>
      <c r="L151" s="1817"/>
      <c r="M151" s="1818"/>
      <c r="N151" s="1817"/>
      <c r="O151" s="1817"/>
      <c r="P151" s="885"/>
    </row>
    <row r="152" spans="1:16" ht="20.149999999999999" hidden="1" customHeight="1">
      <c r="A152" s="1781"/>
      <c r="B152" s="1779"/>
      <c r="C152" s="1838"/>
      <c r="D152" s="879" t="s">
        <v>1352</v>
      </c>
      <c r="E152" s="886"/>
      <c r="F152" s="886"/>
      <c r="G152" s="886"/>
      <c r="H152" s="887"/>
      <c r="I152" s="863"/>
      <c r="J152" s="883"/>
      <c r="K152" s="1760"/>
      <c r="L152" s="1817"/>
      <c r="M152" s="1818"/>
      <c r="N152" s="1817"/>
      <c r="O152" s="1817"/>
      <c r="P152" s="885"/>
    </row>
    <row r="153" spans="1:16" ht="20.149999999999999" hidden="1" customHeight="1">
      <c r="A153" s="1781"/>
      <c r="B153" s="1779"/>
      <c r="C153" s="1838"/>
      <c r="D153" s="890" t="s">
        <v>1353</v>
      </c>
      <c r="E153" s="886"/>
      <c r="F153" s="886"/>
      <c r="G153" s="886"/>
      <c r="H153" s="887"/>
      <c r="I153" s="863"/>
      <c r="J153" s="883"/>
      <c r="K153" s="1760"/>
      <c r="L153" s="1817"/>
      <c r="M153" s="1818"/>
      <c r="N153" s="1817"/>
      <c r="O153" s="1817"/>
      <c r="P153" s="885"/>
    </row>
    <row r="154" spans="1:16" ht="33.75" hidden="1" customHeight="1">
      <c r="A154" s="1781"/>
      <c r="B154" s="1779"/>
      <c r="C154" s="1838"/>
      <c r="D154" s="891" t="s">
        <v>1348</v>
      </c>
      <c r="E154" s="892">
        <f>SUM(E149:E153)</f>
        <v>197.73</v>
      </c>
      <c r="F154" s="892">
        <f t="shared" ref="F154:G154" si="30">SUM(F149:F153)</f>
        <v>205.93</v>
      </c>
      <c r="G154" s="892">
        <f t="shared" si="30"/>
        <v>205.77600000000001</v>
      </c>
      <c r="H154" s="893">
        <f>G154/F154</f>
        <v>0.99925217306851843</v>
      </c>
      <c r="I154" s="863"/>
      <c r="J154" s="883"/>
      <c r="K154" s="1760"/>
      <c r="L154" s="1817"/>
      <c r="M154" s="1818"/>
      <c r="N154" s="1817"/>
      <c r="O154" s="1817"/>
      <c r="P154" s="885"/>
    </row>
    <row r="155" spans="1:16" ht="20.149999999999999" hidden="1" customHeight="1">
      <c r="A155" s="1781"/>
      <c r="B155" s="1770" t="s">
        <v>1355</v>
      </c>
      <c r="C155" s="878"/>
      <c r="D155" s="898" t="s">
        <v>668</v>
      </c>
      <c r="E155" s="886"/>
      <c r="F155" s="886"/>
      <c r="G155" s="886"/>
      <c r="H155" s="887" t="e">
        <f t="shared" ref="H155:H157" si="31">I155/E155-1</f>
        <v>#DIV/0!</v>
      </c>
      <c r="I155" s="863">
        <v>78</v>
      </c>
      <c r="J155" s="883"/>
      <c r="K155" s="1493"/>
      <c r="L155" s="753"/>
      <c r="M155" s="884"/>
      <c r="N155" s="753"/>
      <c r="O155" s="753"/>
      <c r="P155" s="885"/>
    </row>
    <row r="156" spans="1:16" ht="20.149999999999999" hidden="1" customHeight="1">
      <c r="A156" s="1781"/>
      <c r="B156" s="1771"/>
      <c r="C156" s="1838">
        <v>188711925</v>
      </c>
      <c r="D156" s="879" t="s">
        <v>1351</v>
      </c>
      <c r="E156" s="886">
        <v>52.44</v>
      </c>
      <c r="F156" s="886"/>
      <c r="G156" s="886"/>
      <c r="H156" s="887">
        <f t="shared" si="31"/>
        <v>0.2269260106788713</v>
      </c>
      <c r="I156" s="863">
        <f>71.62-7.28</f>
        <v>64.34</v>
      </c>
      <c r="J156" s="883"/>
      <c r="K156" s="1793"/>
      <c r="L156" s="1817"/>
      <c r="M156" s="1818"/>
      <c r="N156" s="1817"/>
      <c r="O156" s="1817"/>
      <c r="P156" s="885"/>
    </row>
    <row r="157" spans="1:16" ht="39" hidden="1" customHeight="1">
      <c r="A157" s="1782"/>
      <c r="B157" s="1783"/>
      <c r="C157" s="1838"/>
      <c r="D157" s="899" t="s">
        <v>1348</v>
      </c>
      <c r="E157" s="886">
        <f>E156</f>
        <v>52.44</v>
      </c>
      <c r="F157" s="886"/>
      <c r="G157" s="886"/>
      <c r="H157" s="887">
        <f t="shared" si="31"/>
        <v>1.7143401983218918</v>
      </c>
      <c r="I157" s="863">
        <f>I155+I156</f>
        <v>142.34</v>
      </c>
      <c r="J157" s="883"/>
      <c r="K157" s="1793"/>
      <c r="L157" s="1817"/>
      <c r="M157" s="1818"/>
      <c r="N157" s="1817"/>
      <c r="O157" s="1817"/>
      <c r="P157" s="885"/>
    </row>
    <row r="158" spans="1:16" s="497" customFormat="1" ht="48.75" customHeight="1">
      <c r="A158" s="900" t="s">
        <v>1972</v>
      </c>
      <c r="B158" s="901" t="s">
        <v>1973</v>
      </c>
      <c r="C158" s="902"/>
      <c r="D158" s="847"/>
      <c r="E158" s="697">
        <f>SUM(E160,E166,E170,E181,E203,E211,E214,E216,E218,)</f>
        <v>442.04199999999997</v>
      </c>
      <c r="F158" s="697">
        <f>SUM(F160,F166,F170,F181,F203,F211,F214,F216,F218,)</f>
        <v>583.32100000000003</v>
      </c>
      <c r="G158" s="697">
        <f>SUM(G160,G166,G170,G181,G203,G211,G214,G216,G218,)</f>
        <v>530.10399999999993</v>
      </c>
      <c r="H158" s="903">
        <f>G158/F158</f>
        <v>0.90876892825734013</v>
      </c>
      <c r="I158" s="502" t="e">
        <f>SUM(I160,I166,I170,I181,I203,I211,I214,I216,I218,)</f>
        <v>#REF!</v>
      </c>
      <c r="J158" s="501" t="s">
        <v>2385</v>
      </c>
      <c r="K158" s="1651"/>
      <c r="L158" s="1652"/>
      <c r="M158" s="1652"/>
      <c r="N158" s="1652"/>
      <c r="O158" s="1652"/>
      <c r="P158" s="1756"/>
    </row>
    <row r="159" spans="1:16" ht="27" customHeight="1">
      <c r="A159" s="1816" t="s">
        <v>1956</v>
      </c>
      <c r="B159" s="1691" t="s">
        <v>1356</v>
      </c>
      <c r="C159" s="1849" t="s">
        <v>1325</v>
      </c>
      <c r="D159" s="657" t="s">
        <v>668</v>
      </c>
      <c r="E159" s="701">
        <v>18.62</v>
      </c>
      <c r="F159" s="701">
        <v>18.62</v>
      </c>
      <c r="G159" s="701">
        <f>SUM(G161,G162,G163,G164,)</f>
        <v>18.618000000000002</v>
      </c>
      <c r="H159" s="816">
        <f>G159/F159</f>
        <v>0.99989258861439323</v>
      </c>
      <c r="I159" s="701">
        <f>SUM(I161,I162:I163)</f>
        <v>21.6</v>
      </c>
      <c r="J159" s="1762" t="s">
        <v>1822</v>
      </c>
      <c r="K159" s="1699" t="s">
        <v>3628</v>
      </c>
      <c r="L159" s="1646" t="s">
        <v>557</v>
      </c>
      <c r="M159" s="1646" t="s">
        <v>1365</v>
      </c>
      <c r="N159" s="1646" t="s">
        <v>449</v>
      </c>
      <c r="O159" s="1646" t="s">
        <v>205</v>
      </c>
      <c r="P159" s="1665" t="s">
        <v>3545</v>
      </c>
    </row>
    <row r="160" spans="1:16" ht="150" customHeight="1">
      <c r="A160" s="1816"/>
      <c r="B160" s="1691"/>
      <c r="C160" s="1850"/>
      <c r="D160" s="904" t="s">
        <v>1348</v>
      </c>
      <c r="E160" s="905">
        <f>E159</f>
        <v>18.62</v>
      </c>
      <c r="F160" s="905">
        <f>F159</f>
        <v>18.62</v>
      </c>
      <c r="G160" s="905">
        <f>G159</f>
        <v>18.618000000000002</v>
      </c>
      <c r="H160" s="813">
        <f>G160/F160</f>
        <v>0.99989258861439323</v>
      </c>
      <c r="I160" s="905">
        <f t="shared" ref="I160" si="32">I159</f>
        <v>21.6</v>
      </c>
      <c r="J160" s="1788"/>
      <c r="K160" s="1700"/>
      <c r="L160" s="1646"/>
      <c r="M160" s="1646"/>
      <c r="N160" s="1646"/>
      <c r="O160" s="1646"/>
      <c r="P160" s="1671"/>
    </row>
    <row r="161" spans="1:16" ht="17.5" hidden="1" customHeight="1">
      <c r="A161" s="906"/>
      <c r="B161" s="907" t="s">
        <v>1797</v>
      </c>
      <c r="C161" s="908"/>
      <c r="D161" s="909"/>
      <c r="E161" s="537"/>
      <c r="F161" s="537">
        <v>3.33</v>
      </c>
      <c r="G161" s="537">
        <v>3.33</v>
      </c>
      <c r="H161" s="910"/>
      <c r="I161" s="537">
        <v>5</v>
      </c>
      <c r="J161" s="911"/>
      <c r="K161" s="1507"/>
      <c r="L161" s="616"/>
      <c r="M161" s="616"/>
      <c r="N161" s="912"/>
      <c r="O161" s="912"/>
      <c r="P161" s="913"/>
    </row>
    <row r="162" spans="1:16" ht="17.5" hidden="1" customHeight="1">
      <c r="A162" s="914"/>
      <c r="B162" s="907" t="s">
        <v>2388</v>
      </c>
      <c r="C162" s="908"/>
      <c r="D162" s="909"/>
      <c r="E162" s="537"/>
      <c r="F162" s="537">
        <v>9.4039999999999999</v>
      </c>
      <c r="G162" s="537">
        <v>9.4030000000000005</v>
      </c>
      <c r="H162" s="915"/>
      <c r="I162" s="541">
        <f>16.6-1.89</f>
        <v>14.71</v>
      </c>
      <c r="J162" s="916"/>
      <c r="K162" s="1508"/>
      <c r="L162" s="616"/>
      <c r="M162" s="616"/>
      <c r="N162" s="912"/>
      <c r="O162" s="912"/>
      <c r="P162" s="913"/>
    </row>
    <row r="163" spans="1:16" ht="17.5" hidden="1" customHeight="1">
      <c r="A163" s="906"/>
      <c r="B163" s="907" t="s">
        <v>2847</v>
      </c>
      <c r="C163" s="908"/>
      <c r="D163" s="909"/>
      <c r="E163" s="537"/>
      <c r="F163" s="537">
        <v>5.8460000000000001</v>
      </c>
      <c r="G163" s="537">
        <v>5.8460000000000001</v>
      </c>
      <c r="H163" s="910"/>
      <c r="I163" s="537">
        <v>1.89</v>
      </c>
      <c r="J163" s="911"/>
      <c r="K163" s="1507"/>
      <c r="L163" s="616"/>
      <c r="M163" s="616"/>
      <c r="N163" s="912"/>
      <c r="O163" s="912"/>
      <c r="P163" s="913"/>
    </row>
    <row r="164" spans="1:16" ht="17.5" hidden="1" customHeight="1">
      <c r="A164" s="906"/>
      <c r="B164" s="917" t="s">
        <v>1575</v>
      </c>
      <c r="C164" s="908"/>
      <c r="D164" s="909"/>
      <c r="E164" s="537"/>
      <c r="F164" s="537">
        <v>0.04</v>
      </c>
      <c r="G164" s="537">
        <v>3.9E-2</v>
      </c>
      <c r="H164" s="910"/>
      <c r="I164" s="537"/>
      <c r="J164" s="911"/>
      <c r="K164" s="1507"/>
      <c r="L164" s="616"/>
      <c r="M164" s="616"/>
      <c r="N164" s="912"/>
      <c r="O164" s="912"/>
      <c r="P164" s="913"/>
    </row>
    <row r="165" spans="1:16" ht="37.200000000000003" customHeight="1">
      <c r="A165" s="1803" t="s">
        <v>1957</v>
      </c>
      <c r="B165" s="1791" t="s">
        <v>1357</v>
      </c>
      <c r="C165" s="1826">
        <v>188711925</v>
      </c>
      <c r="D165" s="724" t="s">
        <v>668</v>
      </c>
      <c r="E165" s="701">
        <v>4.5</v>
      </c>
      <c r="F165" s="701">
        <f>F167</f>
        <v>5</v>
      </c>
      <c r="G165" s="701">
        <f>G167</f>
        <v>4.9390000000000001</v>
      </c>
      <c r="H165" s="816">
        <f>G165/F165</f>
        <v>0.98780000000000001</v>
      </c>
      <c r="I165" s="701" t="e">
        <f>SUM(I167,#REF!)</f>
        <v>#REF!</v>
      </c>
      <c r="J165" s="1691" t="s">
        <v>2386</v>
      </c>
      <c r="K165" s="1699" t="s">
        <v>3629</v>
      </c>
      <c r="L165" s="1646" t="s">
        <v>246</v>
      </c>
      <c r="M165" s="638" t="s">
        <v>3358</v>
      </c>
      <c r="N165" s="638" t="s">
        <v>209</v>
      </c>
      <c r="O165" s="638" t="s">
        <v>835</v>
      </c>
      <c r="P165" s="657" t="s">
        <v>3545</v>
      </c>
    </row>
    <row r="166" spans="1:16" ht="123" customHeight="1">
      <c r="A166" s="1803"/>
      <c r="B166" s="1791"/>
      <c r="C166" s="1826"/>
      <c r="D166" s="811" t="s">
        <v>1348</v>
      </c>
      <c r="E166" s="706">
        <f>E165</f>
        <v>4.5</v>
      </c>
      <c r="F166" s="706">
        <f>F165</f>
        <v>5</v>
      </c>
      <c r="G166" s="706">
        <f>G165</f>
        <v>4.9390000000000001</v>
      </c>
      <c r="H166" s="813">
        <f>G166/F166</f>
        <v>0.98780000000000001</v>
      </c>
      <c r="I166" s="706" t="e">
        <f t="shared" ref="I166" si="33">I165</f>
        <v>#REF!</v>
      </c>
      <c r="J166" s="1691"/>
      <c r="K166" s="1700"/>
      <c r="L166" s="1646"/>
      <c r="M166" s="815" t="s">
        <v>3359</v>
      </c>
      <c r="N166" s="815" t="s">
        <v>1531</v>
      </c>
      <c r="O166" s="638" t="s">
        <v>1531</v>
      </c>
      <c r="P166" s="657" t="s">
        <v>3544</v>
      </c>
    </row>
    <row r="167" spans="1:16" ht="35.5" hidden="1" customHeight="1">
      <c r="A167" s="918"/>
      <c r="B167" s="919" t="s">
        <v>2545</v>
      </c>
      <c r="C167" s="920"/>
      <c r="D167" s="921"/>
      <c r="E167" s="537"/>
      <c r="F167" s="537">
        <v>5</v>
      </c>
      <c r="G167" s="537">
        <v>4.9390000000000001</v>
      </c>
      <c r="H167" s="922"/>
      <c r="I167" s="537">
        <v>3</v>
      </c>
      <c r="J167" s="804"/>
      <c r="K167" s="1493"/>
      <c r="L167" s="483"/>
      <c r="M167" s="884"/>
      <c r="N167" s="753"/>
      <c r="O167" s="753"/>
      <c r="P167" s="913"/>
    </row>
    <row r="168" spans="1:16" ht="27.75" customHeight="1">
      <c r="A168" s="1803" t="s">
        <v>1958</v>
      </c>
      <c r="B168" s="1791" t="s">
        <v>1358</v>
      </c>
      <c r="C168" s="1826" t="s">
        <v>1325</v>
      </c>
      <c r="D168" s="923" t="s">
        <v>668</v>
      </c>
      <c r="E168" s="924">
        <v>0.8</v>
      </c>
      <c r="F168" s="924">
        <f>F172</f>
        <v>0.3</v>
      </c>
      <c r="G168" s="924">
        <f>G172</f>
        <v>0.3</v>
      </c>
      <c r="H168" s="925">
        <f>G168/F168</f>
        <v>1</v>
      </c>
      <c r="I168" s="734">
        <v>0.9</v>
      </c>
      <c r="J168" s="1668" t="s">
        <v>1822</v>
      </c>
      <c r="K168" s="1699" t="s">
        <v>3630</v>
      </c>
      <c r="L168" s="1646" t="s">
        <v>638</v>
      </c>
      <c r="M168" s="1646" t="s">
        <v>2799</v>
      </c>
      <c r="N168" s="1646" t="s">
        <v>449</v>
      </c>
      <c r="O168" s="1646" t="s">
        <v>449</v>
      </c>
      <c r="P168" s="1665" t="s">
        <v>3544</v>
      </c>
    </row>
    <row r="169" spans="1:16" ht="29.25" customHeight="1">
      <c r="A169" s="1803"/>
      <c r="B169" s="1791"/>
      <c r="C169" s="1826"/>
      <c r="D169" s="926" t="s">
        <v>1351</v>
      </c>
      <c r="E169" s="924">
        <v>5.6</v>
      </c>
      <c r="F169" s="924">
        <f>SUM(F171,F173,F174,F175,F176,)</f>
        <v>5.6000000000000005</v>
      </c>
      <c r="G169" s="924">
        <f>SUM(G171,G173,G174,G175,G176,)</f>
        <v>5.5990000000000002</v>
      </c>
      <c r="H169" s="927">
        <f>G169/F169</f>
        <v>0.99982142857142853</v>
      </c>
      <c r="I169" s="701">
        <f>I172</f>
        <v>6</v>
      </c>
      <c r="J169" s="1668"/>
      <c r="K169" s="1700"/>
      <c r="L169" s="1646"/>
      <c r="M169" s="1646"/>
      <c r="N169" s="1646"/>
      <c r="O169" s="1646"/>
      <c r="P169" s="1666"/>
    </row>
    <row r="170" spans="1:16" ht="30.75" customHeight="1">
      <c r="A170" s="1803"/>
      <c r="B170" s="1791"/>
      <c r="C170" s="1826"/>
      <c r="D170" s="811" t="s">
        <v>1348</v>
      </c>
      <c r="E170" s="905">
        <f>SUM(E168:E169)</f>
        <v>6.3999999999999995</v>
      </c>
      <c r="F170" s="905">
        <f>SUM(F168:F169)</f>
        <v>5.9</v>
      </c>
      <c r="G170" s="905">
        <f t="shared" ref="G170" si="34">SUM(G168:G169)</f>
        <v>5.899</v>
      </c>
      <c r="H170" s="813">
        <f>G170/F170</f>
        <v>0.99983050847457622</v>
      </c>
      <c r="I170" s="706">
        <f t="shared" ref="I170" si="35">SUM(I168:I169)</f>
        <v>6.9</v>
      </c>
      <c r="J170" s="1672"/>
      <c r="K170" s="1700"/>
      <c r="L170" s="1646"/>
      <c r="M170" s="1646"/>
      <c r="N170" s="1646"/>
      <c r="O170" s="1646"/>
      <c r="P170" s="1671"/>
    </row>
    <row r="171" spans="1:16" ht="20.149999999999999" hidden="1" customHeight="1">
      <c r="A171" s="928"/>
      <c r="B171" s="929" t="s">
        <v>1372</v>
      </c>
      <c r="C171" s="930"/>
      <c r="D171" s="931" t="s">
        <v>1796</v>
      </c>
      <c r="E171" s="537"/>
      <c r="F171" s="537">
        <v>0.70499999999999996</v>
      </c>
      <c r="G171" s="537">
        <v>0.70499999999999996</v>
      </c>
      <c r="H171" s="910"/>
      <c r="I171" s="537">
        <v>0.70499999999999996</v>
      </c>
      <c r="J171" s="911"/>
      <c r="K171" s="1507"/>
      <c r="L171" s="616"/>
      <c r="M171" s="616"/>
      <c r="N171" s="616"/>
      <c r="O171" s="616"/>
      <c r="P171" s="913"/>
    </row>
    <row r="172" spans="1:16" ht="20.149999999999999" hidden="1" customHeight="1">
      <c r="A172" s="932"/>
      <c r="B172" s="933" t="s">
        <v>2388</v>
      </c>
      <c r="C172" s="934"/>
      <c r="D172" s="935" t="s">
        <v>668</v>
      </c>
      <c r="E172" s="936"/>
      <c r="F172" s="537">
        <v>0.3</v>
      </c>
      <c r="G172" s="537">
        <v>0.3</v>
      </c>
      <c r="H172" s="910"/>
      <c r="I172" s="537">
        <v>6</v>
      </c>
      <c r="J172" s="911"/>
      <c r="K172" s="1507"/>
      <c r="L172" s="616"/>
      <c r="M172" s="616"/>
      <c r="N172" s="616"/>
      <c r="O172" s="616"/>
      <c r="P172" s="913"/>
    </row>
    <row r="173" spans="1:16" ht="20.149999999999999" hidden="1" customHeight="1">
      <c r="A173" s="937"/>
      <c r="B173" s="938" t="s">
        <v>2855</v>
      </c>
      <c r="C173" s="939"/>
      <c r="D173" s="931" t="s">
        <v>1796</v>
      </c>
      <c r="E173" s="940"/>
      <c r="F173" s="940">
        <v>1.0489999999999999</v>
      </c>
      <c r="G173" s="941">
        <v>1.048</v>
      </c>
      <c r="H173" s="910"/>
      <c r="I173" s="537"/>
      <c r="J173" s="911"/>
      <c r="K173" s="1507"/>
      <c r="L173" s="616"/>
      <c r="M173" s="616"/>
      <c r="N173" s="616"/>
      <c r="O173" s="616"/>
      <c r="P173" s="913"/>
    </row>
    <row r="174" spans="1:16" ht="20.149999999999999" hidden="1" customHeight="1">
      <c r="A174" s="942"/>
      <c r="B174" s="933" t="s">
        <v>1579</v>
      </c>
      <c r="C174" s="934"/>
      <c r="D174" s="935" t="s">
        <v>1796</v>
      </c>
      <c r="E174" s="886"/>
      <c r="F174" s="886">
        <v>0.26400000000000001</v>
      </c>
      <c r="G174" s="886">
        <v>0.26400000000000001</v>
      </c>
      <c r="H174" s="943"/>
      <c r="I174" s="537"/>
      <c r="J174" s="911"/>
      <c r="K174" s="1507"/>
      <c r="L174" s="616"/>
      <c r="M174" s="616"/>
      <c r="N174" s="616"/>
      <c r="O174" s="616"/>
      <c r="P174" s="913"/>
    </row>
    <row r="175" spans="1:16" ht="20.149999999999999" hidden="1" customHeight="1">
      <c r="A175" s="937"/>
      <c r="B175" s="938" t="s">
        <v>1575</v>
      </c>
      <c r="C175" s="939"/>
      <c r="D175" s="944" t="s">
        <v>1796</v>
      </c>
      <c r="E175" s="945"/>
      <c r="F175" s="945">
        <v>2.9430000000000001</v>
      </c>
      <c r="G175" s="945">
        <v>2.9420000000000002</v>
      </c>
      <c r="H175" s="946"/>
      <c r="I175" s="941"/>
      <c r="J175" s="947"/>
      <c r="K175" s="1507"/>
      <c r="L175" s="616"/>
      <c r="M175" s="616"/>
      <c r="N175" s="616"/>
      <c r="O175" s="616"/>
      <c r="P175" s="913"/>
    </row>
    <row r="176" spans="1:16" ht="20.149999999999999" hidden="1" customHeight="1">
      <c r="A176" s="942"/>
      <c r="B176" s="933" t="s">
        <v>1576</v>
      </c>
      <c r="C176" s="934"/>
      <c r="D176" s="944" t="s">
        <v>1796</v>
      </c>
      <c r="E176" s="886"/>
      <c r="F176" s="886">
        <v>0.63900000000000001</v>
      </c>
      <c r="G176" s="886">
        <v>0.64</v>
      </c>
      <c r="H176" s="948"/>
      <c r="I176" s="886"/>
      <c r="J176" s="949"/>
      <c r="K176" s="1509"/>
      <c r="L176" s="616"/>
      <c r="M176" s="616"/>
      <c r="N176" s="616"/>
      <c r="O176" s="616"/>
      <c r="P176" s="913"/>
    </row>
    <row r="177" spans="1:16" ht="31.5" customHeight="1">
      <c r="A177" s="1804" t="s">
        <v>1959</v>
      </c>
      <c r="B177" s="1672" t="s">
        <v>1359</v>
      </c>
      <c r="C177" s="1711" t="s">
        <v>1325</v>
      </c>
      <c r="D177" s="657" t="s">
        <v>66</v>
      </c>
      <c r="E177" s="734">
        <v>8</v>
      </c>
      <c r="F177" s="734">
        <f>F182+F184+F188+F191+F193+F195+F198</f>
        <v>34.847000000000001</v>
      </c>
      <c r="G177" s="734">
        <f>G182+G184+G188+G191+G193+G195+G198</f>
        <v>12.671999999999999</v>
      </c>
      <c r="H177" s="734">
        <f>SUM(H182,H184,H188,H191,H193,H195,H198)</f>
        <v>0</v>
      </c>
      <c r="I177" s="734">
        <f>SUM(I182,I183,I185,)</f>
        <v>43.17</v>
      </c>
      <c r="J177" s="1788" t="s">
        <v>2214</v>
      </c>
      <c r="K177" s="1699" t="s">
        <v>3761</v>
      </c>
      <c r="L177" s="1646" t="s">
        <v>640</v>
      </c>
      <c r="M177" s="1806" t="s">
        <v>1366</v>
      </c>
      <c r="N177" s="1806" t="s">
        <v>612</v>
      </c>
      <c r="O177" s="1806" t="s">
        <v>1531</v>
      </c>
      <c r="P177" s="1665" t="s">
        <v>3544</v>
      </c>
    </row>
    <row r="178" spans="1:16" ht="36.75" customHeight="1">
      <c r="A178" s="1805"/>
      <c r="B178" s="1691"/>
      <c r="C178" s="1696"/>
      <c r="D178" s="657" t="s">
        <v>1376</v>
      </c>
      <c r="E178" s="701">
        <v>66.822000000000003</v>
      </c>
      <c r="F178" s="701">
        <v>0</v>
      </c>
      <c r="G178" s="701">
        <v>0</v>
      </c>
      <c r="H178" s="816"/>
      <c r="I178" s="701" t="e">
        <f>SUM(#REF!,#REF!,)</f>
        <v>#REF!</v>
      </c>
      <c r="J178" s="1764"/>
      <c r="K178" s="1700"/>
      <c r="L178" s="1646"/>
      <c r="M178" s="1807"/>
      <c r="N178" s="1807"/>
      <c r="O178" s="1807"/>
      <c r="P178" s="1666"/>
    </row>
    <row r="179" spans="1:16" ht="36.75" customHeight="1">
      <c r="A179" s="1805"/>
      <c r="B179" s="1691"/>
      <c r="C179" s="1696"/>
      <c r="D179" s="657" t="s">
        <v>341</v>
      </c>
      <c r="E179" s="701"/>
      <c r="F179" s="701">
        <f>F183+F185+F186+F187+F189+F190+F192+F194+F197+F199</f>
        <v>117.663</v>
      </c>
      <c r="G179" s="701">
        <f>G183+G185+G186+G187+G189+G190+G192+G194+G197+G199</f>
        <v>107.762</v>
      </c>
      <c r="H179" s="816">
        <f>G179/F179</f>
        <v>0.91585290193178825</v>
      </c>
      <c r="I179" s="701">
        <f>SUM(I187)</f>
        <v>242</v>
      </c>
      <c r="J179" s="1764"/>
      <c r="K179" s="1700"/>
      <c r="L179" s="1646"/>
      <c r="M179" s="1807"/>
      <c r="N179" s="1807"/>
      <c r="O179" s="1807"/>
      <c r="P179" s="1666"/>
    </row>
    <row r="180" spans="1:16" ht="28.2" customHeight="1">
      <c r="A180" s="1805"/>
      <c r="B180" s="1691"/>
      <c r="C180" s="1696"/>
      <c r="D180" s="657" t="s">
        <v>976</v>
      </c>
      <c r="E180" s="643"/>
      <c r="F180" s="701" t="str">
        <f>F196</f>
        <v>66,091</v>
      </c>
      <c r="G180" s="701" t="str">
        <f>G196</f>
        <v>54,678</v>
      </c>
      <c r="H180" s="816"/>
      <c r="I180" s="701"/>
      <c r="J180" s="1764"/>
      <c r="K180" s="1700"/>
      <c r="L180" s="1646"/>
      <c r="M180" s="1808"/>
      <c r="N180" s="1808"/>
      <c r="O180" s="1808"/>
      <c r="P180" s="1671"/>
    </row>
    <row r="181" spans="1:16" ht="55.5" customHeight="1">
      <c r="A181" s="1805"/>
      <c r="B181" s="1691"/>
      <c r="C181" s="1696"/>
      <c r="D181" s="811" t="s">
        <v>1348</v>
      </c>
      <c r="E181" s="706">
        <f>SUM(E177:E178)</f>
        <v>74.822000000000003</v>
      </c>
      <c r="F181" s="706">
        <f>F177+F178+F179+F180</f>
        <v>218.601</v>
      </c>
      <c r="G181" s="706">
        <f>G177+G178+G179+G180</f>
        <v>175.11199999999999</v>
      </c>
      <c r="H181" s="813">
        <f>G181/F181</f>
        <v>0.80105763468602609</v>
      </c>
      <c r="I181" s="706" t="e">
        <f>SUM(I177:I179)</f>
        <v>#REF!</v>
      </c>
      <c r="J181" s="1764"/>
      <c r="K181" s="1700"/>
      <c r="L181" s="1646"/>
      <c r="M181" s="638" t="s">
        <v>3360</v>
      </c>
      <c r="N181" s="638" t="s">
        <v>1536</v>
      </c>
      <c r="O181" s="638" t="s">
        <v>1598</v>
      </c>
      <c r="P181" s="657" t="s">
        <v>3544</v>
      </c>
    </row>
    <row r="182" spans="1:16" ht="35.25" hidden="1" customHeight="1">
      <c r="A182" s="950" t="s">
        <v>3289</v>
      </c>
      <c r="B182" s="951" t="s">
        <v>2505</v>
      </c>
      <c r="C182" s="952"/>
      <c r="D182" s="953" t="s">
        <v>668</v>
      </c>
      <c r="E182" s="954"/>
      <c r="F182" s="954">
        <v>8</v>
      </c>
      <c r="G182" s="954">
        <v>7.7050000000000001</v>
      </c>
      <c r="H182" s="955"/>
      <c r="I182" s="956">
        <v>8</v>
      </c>
      <c r="J182" s="720"/>
      <c r="K182" s="1493" t="s">
        <v>3500</v>
      </c>
      <c r="L182" s="483"/>
      <c r="M182" s="483"/>
      <c r="N182" s="753"/>
      <c r="O182" s="753"/>
      <c r="P182" s="913"/>
    </row>
    <row r="183" spans="1:16" ht="21.75" hidden="1" customHeight="1">
      <c r="A183" s="1810" t="s">
        <v>3279</v>
      </c>
      <c r="B183" s="804" t="s">
        <v>2506</v>
      </c>
      <c r="C183" s="952"/>
      <c r="D183" s="931" t="s">
        <v>341</v>
      </c>
      <c r="E183" s="537"/>
      <c r="F183" s="537">
        <v>10.422000000000001</v>
      </c>
      <c r="G183" s="537">
        <v>8.6679999999999993</v>
      </c>
      <c r="H183" s="958"/>
      <c r="I183" s="464">
        <v>0</v>
      </c>
      <c r="J183" s="520"/>
      <c r="K183" s="1493"/>
      <c r="L183" s="483"/>
      <c r="M183" s="483"/>
      <c r="N183" s="753"/>
      <c r="O183" s="753"/>
      <c r="P183" s="913"/>
    </row>
    <row r="184" spans="1:16" ht="31.5" hidden="1" customHeight="1">
      <c r="A184" s="1811"/>
      <c r="B184" s="959" t="s">
        <v>3501</v>
      </c>
      <c r="C184" s="960"/>
      <c r="D184" s="953" t="s">
        <v>668</v>
      </c>
      <c r="E184" s="954"/>
      <c r="F184" s="961" t="s">
        <v>3293</v>
      </c>
      <c r="G184" s="961" t="s">
        <v>3711</v>
      </c>
      <c r="H184" s="958"/>
      <c r="I184" s="464"/>
      <c r="J184" s="520"/>
      <c r="K184" s="1493"/>
      <c r="L184" s="483"/>
      <c r="M184" s="483"/>
      <c r="N184" s="753"/>
      <c r="O184" s="753"/>
      <c r="P184" s="913"/>
    </row>
    <row r="185" spans="1:16" ht="40.5" hidden="1" customHeight="1">
      <c r="A185" s="1811"/>
      <c r="B185" s="804" t="s">
        <v>3290</v>
      </c>
      <c r="C185" s="878"/>
      <c r="D185" s="931" t="s">
        <v>341</v>
      </c>
      <c r="E185" s="941"/>
      <c r="F185" s="941">
        <v>3.923</v>
      </c>
      <c r="G185" s="941">
        <v>3.923</v>
      </c>
      <c r="H185" s="955"/>
      <c r="I185" s="464">
        <v>35.17</v>
      </c>
      <c r="J185" s="720"/>
      <c r="K185" s="1493"/>
      <c r="L185" s="483"/>
      <c r="M185" s="483"/>
      <c r="N185" s="753"/>
      <c r="O185" s="753"/>
      <c r="P185" s="913"/>
    </row>
    <row r="186" spans="1:16" ht="24.75" hidden="1" customHeight="1">
      <c r="A186" s="1812"/>
      <c r="B186" s="963" t="s">
        <v>3280</v>
      </c>
      <c r="C186" s="617"/>
      <c r="D186" s="617" t="s">
        <v>341</v>
      </c>
      <c r="E186" s="617"/>
      <c r="F186" s="617" t="s">
        <v>3281</v>
      </c>
      <c r="G186" s="617" t="s">
        <v>3281</v>
      </c>
      <c r="H186" s="955"/>
      <c r="I186" s="464"/>
      <c r="J186" s="720"/>
      <c r="K186" s="1493"/>
      <c r="L186" s="483"/>
      <c r="M186" s="483"/>
      <c r="N186" s="753"/>
      <c r="O186" s="753"/>
      <c r="P186" s="913"/>
    </row>
    <row r="187" spans="1:16" ht="19.5" hidden="1" customHeight="1">
      <c r="A187" s="1813" t="s">
        <v>3282</v>
      </c>
      <c r="B187" s="853" t="s">
        <v>2506</v>
      </c>
      <c r="C187" s="878"/>
      <c r="D187" s="931" t="s">
        <v>341</v>
      </c>
      <c r="E187" s="537"/>
      <c r="F187" s="537">
        <v>9.8290000000000006</v>
      </c>
      <c r="G187" s="537">
        <v>7.1509999999999998</v>
      </c>
      <c r="H187" s="955"/>
      <c r="I187" s="466">
        <v>242</v>
      </c>
      <c r="J187" s="964"/>
      <c r="K187" s="1493"/>
      <c r="L187" s="483"/>
      <c r="M187" s="483"/>
      <c r="N187" s="753"/>
      <c r="O187" s="753"/>
      <c r="P187" s="913"/>
    </row>
    <row r="188" spans="1:16" ht="30" hidden="1" customHeight="1">
      <c r="A188" s="1814"/>
      <c r="B188" s="959" t="s">
        <v>3501</v>
      </c>
      <c r="C188" s="965"/>
      <c r="D188" s="961" t="s">
        <v>668</v>
      </c>
      <c r="E188" s="961"/>
      <c r="F188" s="961" t="s">
        <v>3294</v>
      </c>
      <c r="G188" s="961" t="s">
        <v>3295</v>
      </c>
      <c r="H188" s="955"/>
      <c r="I188" s="466"/>
      <c r="J188" s="964"/>
      <c r="K188" s="1493"/>
      <c r="L188" s="483"/>
      <c r="M188" s="483"/>
      <c r="N188" s="753"/>
      <c r="O188" s="753"/>
      <c r="P188" s="913"/>
    </row>
    <row r="189" spans="1:16" ht="30" hidden="1" customHeight="1">
      <c r="A189" s="1815"/>
      <c r="B189" s="616" t="s">
        <v>3280</v>
      </c>
      <c r="C189" s="617"/>
      <c r="D189" s="617" t="s">
        <v>341</v>
      </c>
      <c r="E189" s="617"/>
      <c r="F189" s="617" t="s">
        <v>3283</v>
      </c>
      <c r="G189" s="617" t="s">
        <v>3283</v>
      </c>
      <c r="H189" s="955"/>
      <c r="I189" s="466"/>
      <c r="J189" s="964"/>
      <c r="K189" s="1493"/>
      <c r="L189" s="483"/>
      <c r="M189" s="483"/>
      <c r="N189" s="753"/>
      <c r="O189" s="753"/>
      <c r="P189" s="913"/>
    </row>
    <row r="190" spans="1:16" ht="21" hidden="1" customHeight="1">
      <c r="A190" s="1822" t="s">
        <v>3291</v>
      </c>
      <c r="B190" s="804" t="s">
        <v>2506</v>
      </c>
      <c r="C190" s="878"/>
      <c r="D190" s="931" t="s">
        <v>341</v>
      </c>
      <c r="E190" s="537"/>
      <c r="F190" s="537">
        <v>22.864999999999998</v>
      </c>
      <c r="G190" s="537">
        <v>18.137</v>
      </c>
      <c r="H190" s="955"/>
      <c r="I190" s="466">
        <v>3</v>
      </c>
      <c r="J190" s="964"/>
      <c r="L190" s="483"/>
      <c r="M190" s="483"/>
      <c r="N190" s="753"/>
      <c r="O190" s="753"/>
      <c r="P190" s="913"/>
    </row>
    <row r="191" spans="1:16" ht="27.75" hidden="1" customHeight="1">
      <c r="A191" s="1823"/>
      <c r="B191" s="969" t="s">
        <v>3501</v>
      </c>
      <c r="C191" s="965"/>
      <c r="D191" s="961" t="s">
        <v>668</v>
      </c>
      <c r="E191" s="961"/>
      <c r="F191" s="961" t="s">
        <v>3296</v>
      </c>
      <c r="G191" s="961" t="s">
        <v>3297</v>
      </c>
      <c r="H191" s="955"/>
      <c r="I191" s="466"/>
      <c r="J191" s="964"/>
      <c r="K191" s="1493"/>
      <c r="L191" s="483"/>
      <c r="M191" s="483"/>
      <c r="N191" s="753"/>
      <c r="O191" s="753"/>
      <c r="P191" s="913"/>
    </row>
    <row r="192" spans="1:16" ht="23.25" hidden="1" customHeight="1">
      <c r="A192" s="1810" t="s">
        <v>580</v>
      </c>
      <c r="B192" s="804" t="s">
        <v>3277</v>
      </c>
      <c r="C192" s="878"/>
      <c r="D192" s="921" t="s">
        <v>341</v>
      </c>
      <c r="E192" s="537"/>
      <c r="F192" s="537">
        <v>9.2769999999999992</v>
      </c>
      <c r="G192" s="537">
        <v>8.5429999999999993</v>
      </c>
      <c r="H192" s="955"/>
      <c r="I192" s="464"/>
      <c r="J192" s="720"/>
      <c r="K192" s="1493"/>
      <c r="L192" s="483"/>
      <c r="M192" s="483"/>
      <c r="N192" s="753"/>
      <c r="O192" s="753"/>
      <c r="P192" s="913"/>
    </row>
    <row r="193" spans="1:16" ht="21" hidden="1" customHeight="1">
      <c r="A193" s="1812"/>
      <c r="B193" s="969" t="s">
        <v>3502</v>
      </c>
      <c r="C193" s="965"/>
      <c r="D193" s="961" t="s">
        <v>668</v>
      </c>
      <c r="E193" s="961"/>
      <c r="F193" s="961" t="s">
        <v>3292</v>
      </c>
      <c r="G193" s="961" t="s">
        <v>613</v>
      </c>
      <c r="H193" s="955"/>
      <c r="I193" s="464"/>
      <c r="J193" s="720"/>
      <c r="K193" s="1493"/>
      <c r="L193" s="483"/>
      <c r="M193" s="483"/>
      <c r="N193" s="753"/>
      <c r="O193" s="753"/>
      <c r="P193" s="913"/>
    </row>
    <row r="194" spans="1:16" ht="28.5" hidden="1" customHeight="1">
      <c r="A194" s="1810" t="s">
        <v>3278</v>
      </c>
      <c r="B194" s="963" t="s">
        <v>3280</v>
      </c>
      <c r="C194" s="617"/>
      <c r="D194" s="617" t="s">
        <v>341</v>
      </c>
      <c r="E194" s="617"/>
      <c r="F194" s="617">
        <v>11.353999999999999</v>
      </c>
      <c r="G194" s="617">
        <v>11.347</v>
      </c>
      <c r="H194" s="955"/>
      <c r="I194" s="464"/>
      <c r="J194" s="720"/>
      <c r="K194" s="1493"/>
      <c r="L194" s="483"/>
      <c r="M194" s="483"/>
      <c r="N194" s="753"/>
      <c r="O194" s="753"/>
      <c r="P194" s="913"/>
    </row>
    <row r="195" spans="1:16" ht="23.25" hidden="1" customHeight="1">
      <c r="A195" s="1811"/>
      <c r="B195" s="969" t="s">
        <v>3502</v>
      </c>
      <c r="C195" s="961"/>
      <c r="D195" s="961" t="s">
        <v>668</v>
      </c>
      <c r="E195" s="961"/>
      <c r="F195" s="961" t="s">
        <v>3292</v>
      </c>
      <c r="G195" s="961" t="s">
        <v>613</v>
      </c>
      <c r="H195" s="955"/>
      <c r="I195" s="464"/>
      <c r="J195" s="720"/>
      <c r="K195" s="1493"/>
      <c r="L195" s="483"/>
      <c r="M195" s="483"/>
      <c r="N195" s="753"/>
      <c r="O195" s="753"/>
      <c r="P195" s="913"/>
    </row>
    <row r="196" spans="1:16" ht="23.25" hidden="1" customHeight="1">
      <c r="A196" s="1812"/>
      <c r="B196" s="970" t="s">
        <v>3521</v>
      </c>
      <c r="C196" s="971"/>
      <c r="D196" s="971" t="s">
        <v>976</v>
      </c>
      <c r="E196" s="971"/>
      <c r="F196" s="972" t="s">
        <v>3522</v>
      </c>
      <c r="G196" s="972" t="s">
        <v>3523</v>
      </c>
      <c r="H196" s="955"/>
      <c r="I196" s="464"/>
      <c r="J196" s="720"/>
      <c r="K196" s="1493"/>
      <c r="L196" s="483"/>
      <c r="M196" s="483"/>
      <c r="N196" s="753"/>
      <c r="O196" s="753"/>
      <c r="P196" s="913"/>
    </row>
    <row r="197" spans="1:16" ht="28.5" hidden="1" customHeight="1">
      <c r="A197" s="1810" t="s">
        <v>3284</v>
      </c>
      <c r="B197" s="616" t="s">
        <v>3280</v>
      </c>
      <c r="C197" s="617"/>
      <c r="D197" s="617" t="s">
        <v>341</v>
      </c>
      <c r="E197" s="617"/>
      <c r="F197" s="617" t="s">
        <v>3285</v>
      </c>
      <c r="G197" s="617" t="s">
        <v>3285</v>
      </c>
      <c r="H197" s="955"/>
      <c r="I197" s="464"/>
      <c r="J197" s="720"/>
      <c r="K197" s="1493"/>
      <c r="L197" s="483"/>
      <c r="M197" s="483"/>
      <c r="N197" s="753"/>
      <c r="O197" s="753"/>
      <c r="P197" s="913"/>
    </row>
    <row r="198" spans="1:16" ht="19.5" hidden="1" customHeight="1">
      <c r="A198" s="1812"/>
      <c r="B198" s="969" t="s">
        <v>3502</v>
      </c>
      <c r="C198" s="961"/>
      <c r="D198" s="961" t="s">
        <v>668</v>
      </c>
      <c r="E198" s="961"/>
      <c r="F198" s="961" t="s">
        <v>3292</v>
      </c>
      <c r="G198" s="961" t="s">
        <v>613</v>
      </c>
      <c r="H198" s="955"/>
      <c r="I198" s="464"/>
      <c r="J198" s="720"/>
      <c r="K198" s="1493"/>
      <c r="L198" s="483"/>
      <c r="M198" s="483"/>
      <c r="N198" s="753"/>
      <c r="O198" s="753"/>
      <c r="P198" s="913"/>
    </row>
    <row r="199" spans="1:16" ht="53.25" hidden="1" customHeight="1">
      <c r="A199" s="617" t="s">
        <v>3286</v>
      </c>
      <c r="B199" s="616" t="s">
        <v>3287</v>
      </c>
      <c r="C199" s="617"/>
      <c r="D199" s="617" t="s">
        <v>341</v>
      </c>
      <c r="E199" s="617"/>
      <c r="F199" s="617" t="s">
        <v>3288</v>
      </c>
      <c r="G199" s="617" t="s">
        <v>3288</v>
      </c>
      <c r="H199" s="955"/>
      <c r="I199" s="464"/>
      <c r="J199" s="720"/>
      <c r="K199" s="1493"/>
      <c r="L199" s="483"/>
      <c r="M199" s="483"/>
      <c r="N199" s="753"/>
      <c r="O199" s="753"/>
      <c r="P199" s="913"/>
    </row>
    <row r="200" spans="1:16" ht="21.65" hidden="1" customHeight="1">
      <c r="A200" s="504"/>
      <c r="B200" s="641"/>
      <c r="C200" s="973"/>
      <c r="D200" s="799"/>
      <c r="E200" s="974"/>
      <c r="F200" s="974"/>
      <c r="G200" s="974"/>
      <c r="H200" s="955"/>
      <c r="I200" s="464"/>
      <c r="J200" s="720"/>
      <c r="K200" s="1493"/>
      <c r="L200" s="483"/>
      <c r="M200" s="483"/>
      <c r="N200" s="753"/>
      <c r="O200" s="753"/>
      <c r="P200" s="885"/>
    </row>
    <row r="201" spans="1:16" ht="40.5" customHeight="1">
      <c r="A201" s="1767" t="s">
        <v>1960</v>
      </c>
      <c r="B201" s="1824" t="s">
        <v>1360</v>
      </c>
      <c r="C201" s="1828" t="s">
        <v>1325</v>
      </c>
      <c r="D201" s="923" t="s">
        <v>668</v>
      </c>
      <c r="E201" s="734">
        <v>218</v>
      </c>
      <c r="F201" s="734">
        <f>F205</f>
        <v>218</v>
      </c>
      <c r="G201" s="734">
        <f>G205</f>
        <v>214.9</v>
      </c>
      <c r="H201" s="975">
        <f>G201/F201</f>
        <v>0.98577981651376145</v>
      </c>
      <c r="I201" s="734">
        <f>SUM(I204,I205,I208)</f>
        <v>1480.3</v>
      </c>
      <c r="J201" s="1763" t="s">
        <v>1104</v>
      </c>
      <c r="K201" s="1699" t="s">
        <v>3565</v>
      </c>
      <c r="L201" s="1646" t="s">
        <v>641</v>
      </c>
      <c r="M201" s="1637" t="s">
        <v>3631</v>
      </c>
      <c r="N201" s="1637" t="s">
        <v>449</v>
      </c>
      <c r="O201" s="1637" t="s">
        <v>1673</v>
      </c>
      <c r="P201" s="1665" t="s">
        <v>3545</v>
      </c>
    </row>
    <row r="202" spans="1:16" ht="27.65" customHeight="1">
      <c r="A202" s="1803"/>
      <c r="B202" s="1791"/>
      <c r="C202" s="1826"/>
      <c r="D202" s="926" t="s">
        <v>1349</v>
      </c>
      <c r="E202" s="701">
        <f>83.94+24.26</f>
        <v>108.2</v>
      </c>
      <c r="F202" s="701">
        <f>F204+F206</f>
        <v>108.19999999999999</v>
      </c>
      <c r="G202" s="701">
        <f>G204+G206</f>
        <v>107.836</v>
      </c>
      <c r="H202" s="816">
        <f>G202/F202</f>
        <v>0.99663585951940858</v>
      </c>
      <c r="I202" s="701">
        <f>I206+I207</f>
        <v>111.2</v>
      </c>
      <c r="J202" s="1763"/>
      <c r="K202" s="1700"/>
      <c r="L202" s="1646"/>
      <c r="M202" s="1638"/>
      <c r="N202" s="1638"/>
      <c r="O202" s="1638"/>
      <c r="P202" s="1666"/>
    </row>
    <row r="203" spans="1:16" ht="117" customHeight="1">
      <c r="A203" s="1803"/>
      <c r="B203" s="1791"/>
      <c r="C203" s="1826"/>
      <c r="D203" s="811" t="s">
        <v>1348</v>
      </c>
      <c r="E203" s="706">
        <f>SUM(E201:E202)</f>
        <v>326.2</v>
      </c>
      <c r="F203" s="706">
        <f>SUM(F201:F202)</f>
        <v>326.2</v>
      </c>
      <c r="G203" s="706">
        <f>SUM(G201:G202)</f>
        <v>322.73599999999999</v>
      </c>
      <c r="H203" s="813">
        <f>G203/F203</f>
        <v>0.98938074800735742</v>
      </c>
      <c r="I203" s="706">
        <f>SUM(I201:I202)</f>
        <v>1591.5</v>
      </c>
      <c r="J203" s="1788"/>
      <c r="K203" s="1700"/>
      <c r="L203" s="1646"/>
      <c r="M203" s="1639"/>
      <c r="N203" s="1639"/>
      <c r="O203" s="1639"/>
      <c r="P203" s="1671"/>
    </row>
    <row r="204" spans="1:16" ht="24" hidden="1" customHeight="1">
      <c r="A204" s="505"/>
      <c r="B204" s="919" t="s">
        <v>2592</v>
      </c>
      <c r="C204" s="976"/>
      <c r="D204" s="921" t="s">
        <v>1349</v>
      </c>
      <c r="E204" s="537"/>
      <c r="F204" s="537">
        <v>50.497999999999998</v>
      </c>
      <c r="G204" s="537">
        <v>50.497999999999998</v>
      </c>
      <c r="H204" s="856"/>
      <c r="I204" s="537">
        <f>1247+11.3</f>
        <v>1258.3</v>
      </c>
      <c r="J204" s="977"/>
      <c r="K204" s="1493"/>
      <c r="L204" s="483"/>
      <c r="M204" s="483"/>
      <c r="N204" s="483"/>
      <c r="O204" s="483"/>
      <c r="P204" s="913"/>
    </row>
    <row r="205" spans="1:16" ht="23.25" hidden="1" customHeight="1">
      <c r="A205" s="978"/>
      <c r="B205" s="1789" t="s">
        <v>2545</v>
      </c>
      <c r="C205" s="976"/>
      <c r="D205" s="921" t="s">
        <v>668</v>
      </c>
      <c r="E205" s="537"/>
      <c r="F205" s="537">
        <v>218</v>
      </c>
      <c r="G205" s="537">
        <v>214.9</v>
      </c>
      <c r="H205" s="856"/>
      <c r="I205" s="537">
        <v>1.6</v>
      </c>
      <c r="J205" s="977"/>
      <c r="K205" s="1493"/>
      <c r="L205" s="483"/>
      <c r="M205" s="483"/>
      <c r="N205" s="483"/>
      <c r="O205" s="483"/>
      <c r="P205" s="913"/>
    </row>
    <row r="206" spans="1:16" ht="23.25" hidden="1" customHeight="1">
      <c r="A206" s="978"/>
      <c r="B206" s="1790"/>
      <c r="C206" s="976"/>
      <c r="D206" s="921" t="s">
        <v>1349</v>
      </c>
      <c r="E206" s="537"/>
      <c r="F206" s="537">
        <v>57.701999999999998</v>
      </c>
      <c r="G206" s="537">
        <v>57.338000000000001</v>
      </c>
      <c r="H206" s="856"/>
      <c r="I206" s="537">
        <f>111.2-46.69</f>
        <v>64.510000000000005</v>
      </c>
      <c r="J206" s="977"/>
      <c r="K206" s="1493"/>
      <c r="L206" s="483"/>
      <c r="M206" s="483"/>
      <c r="N206" s="483"/>
      <c r="O206" s="483"/>
      <c r="P206" s="913"/>
    </row>
    <row r="207" spans="1:16" ht="23.25" hidden="1" customHeight="1">
      <c r="A207" s="505"/>
      <c r="B207" s="919" t="s">
        <v>2592</v>
      </c>
      <c r="C207" s="976"/>
      <c r="D207" s="921" t="s">
        <v>1349</v>
      </c>
      <c r="E207" s="537"/>
      <c r="F207" s="537"/>
      <c r="G207" s="537"/>
      <c r="H207" s="856"/>
      <c r="I207" s="537">
        <f>46.69</f>
        <v>46.69</v>
      </c>
      <c r="J207" s="977"/>
      <c r="K207" s="1493"/>
      <c r="L207" s="483"/>
      <c r="M207" s="483"/>
      <c r="N207" s="483"/>
      <c r="O207" s="483"/>
      <c r="P207" s="913"/>
    </row>
    <row r="208" spans="1:16" ht="32.25" hidden="1" customHeight="1">
      <c r="A208" s="505"/>
      <c r="B208" s="919" t="s">
        <v>2547</v>
      </c>
      <c r="C208" s="976"/>
      <c r="D208" s="921" t="s">
        <v>668</v>
      </c>
      <c r="E208" s="537"/>
      <c r="F208" s="537"/>
      <c r="G208" s="537"/>
      <c r="H208" s="856"/>
      <c r="I208" s="537">
        <v>220.4</v>
      </c>
      <c r="J208" s="977"/>
      <c r="K208" s="1493"/>
      <c r="L208" s="483"/>
      <c r="M208" s="483"/>
      <c r="N208" s="483"/>
      <c r="O208" s="483"/>
      <c r="P208" s="913"/>
    </row>
    <row r="209" spans="1:16" ht="20.149999999999999" hidden="1" customHeight="1">
      <c r="A209" s="1827" t="s">
        <v>1961</v>
      </c>
      <c r="B209" s="1829" t="s">
        <v>1361</v>
      </c>
      <c r="C209" s="1792">
        <v>188711925</v>
      </c>
      <c r="D209" s="979" t="s">
        <v>341</v>
      </c>
      <c r="E209" s="980"/>
      <c r="F209" s="980"/>
      <c r="G209" s="980"/>
      <c r="H209" s="981"/>
      <c r="I209" s="980"/>
      <c r="J209" s="1787"/>
      <c r="K209" s="1795" t="s">
        <v>2216</v>
      </c>
      <c r="L209" s="1753"/>
      <c r="M209" s="1753"/>
      <c r="N209" s="1753"/>
      <c r="O209" s="1753"/>
      <c r="P209" s="885"/>
    </row>
    <row r="210" spans="1:16" ht="20.149999999999999" hidden="1" customHeight="1">
      <c r="A210" s="1827"/>
      <c r="B210" s="1829"/>
      <c r="C210" s="1792"/>
      <c r="D210" s="979" t="s">
        <v>668</v>
      </c>
      <c r="E210" s="655"/>
      <c r="F210" s="655"/>
      <c r="G210" s="655"/>
      <c r="H210" s="981"/>
      <c r="I210" s="655"/>
      <c r="J210" s="1787"/>
      <c r="K210" s="1796"/>
      <c r="L210" s="1753"/>
      <c r="M210" s="1753"/>
      <c r="N210" s="1753"/>
      <c r="O210" s="1753"/>
      <c r="P210" s="885"/>
    </row>
    <row r="211" spans="1:16" ht="20.149999999999999" hidden="1" customHeight="1">
      <c r="A211" s="1827"/>
      <c r="B211" s="1829"/>
      <c r="C211" s="1792"/>
      <c r="D211" s="982" t="s">
        <v>1348</v>
      </c>
      <c r="E211" s="980"/>
      <c r="F211" s="980"/>
      <c r="G211" s="980"/>
      <c r="H211" s="981"/>
      <c r="I211" s="980"/>
      <c r="J211" s="1787"/>
      <c r="K211" s="1796"/>
      <c r="L211" s="1753"/>
      <c r="M211" s="1753"/>
      <c r="N211" s="1753"/>
      <c r="O211" s="1753"/>
      <c r="P211" s="885"/>
    </row>
    <row r="212" spans="1:16" ht="20.149999999999999" hidden="1" customHeight="1">
      <c r="A212" s="1827" t="s">
        <v>1962</v>
      </c>
      <c r="B212" s="1829" t="s">
        <v>1362</v>
      </c>
      <c r="C212" s="1792">
        <v>188711925</v>
      </c>
      <c r="D212" s="979" t="s">
        <v>341</v>
      </c>
      <c r="E212" s="980"/>
      <c r="F212" s="980"/>
      <c r="G212" s="980"/>
      <c r="H212" s="981"/>
      <c r="I212" s="980"/>
      <c r="J212" s="1855"/>
      <c r="K212" s="1795" t="s">
        <v>2215</v>
      </c>
      <c r="L212" s="1753"/>
      <c r="M212" s="1753"/>
      <c r="N212" s="1753"/>
      <c r="O212" s="1753"/>
      <c r="P212" s="885"/>
    </row>
    <row r="213" spans="1:16" ht="20.149999999999999" hidden="1" customHeight="1">
      <c r="A213" s="1827"/>
      <c r="B213" s="1829"/>
      <c r="C213" s="1792"/>
      <c r="D213" s="979" t="s">
        <v>668</v>
      </c>
      <c r="E213" s="655"/>
      <c r="F213" s="655"/>
      <c r="G213" s="655"/>
      <c r="H213" s="981"/>
      <c r="I213" s="655"/>
      <c r="J213" s="1856"/>
      <c r="K213" s="1796"/>
      <c r="L213" s="1753"/>
      <c r="M213" s="1753"/>
      <c r="N213" s="1753"/>
      <c r="O213" s="1753"/>
      <c r="P213" s="885"/>
    </row>
    <row r="214" spans="1:16" ht="20.149999999999999" hidden="1" customHeight="1">
      <c r="A214" s="1827"/>
      <c r="B214" s="1829"/>
      <c r="C214" s="1792"/>
      <c r="D214" s="982" t="s">
        <v>1348</v>
      </c>
      <c r="E214" s="980"/>
      <c r="F214" s="980"/>
      <c r="G214" s="980"/>
      <c r="H214" s="981"/>
      <c r="I214" s="980"/>
      <c r="J214" s="1857"/>
      <c r="K214" s="1796"/>
      <c r="L214" s="1753"/>
      <c r="M214" s="1753"/>
      <c r="N214" s="1753"/>
      <c r="O214" s="1753"/>
      <c r="P214" s="885"/>
    </row>
    <row r="215" spans="1:16" ht="26.25" customHeight="1">
      <c r="A215" s="1803" t="s">
        <v>1963</v>
      </c>
      <c r="B215" s="1791" t="s">
        <v>2703</v>
      </c>
      <c r="C215" s="1826">
        <v>188711925</v>
      </c>
      <c r="D215" s="657" t="s">
        <v>668</v>
      </c>
      <c r="E215" s="701">
        <v>4</v>
      </c>
      <c r="F215" s="701">
        <v>4</v>
      </c>
      <c r="G215" s="701">
        <v>2.8</v>
      </c>
      <c r="H215" s="816">
        <f t="shared" ref="H215:H221" si="36">G215/F215</f>
        <v>0.7</v>
      </c>
      <c r="I215" s="701">
        <v>4</v>
      </c>
      <c r="J215" s="1762" t="s">
        <v>1822</v>
      </c>
      <c r="K215" s="1699" t="s">
        <v>2800</v>
      </c>
      <c r="L215" s="1646" t="s">
        <v>262</v>
      </c>
      <c r="M215" s="1646" t="s">
        <v>1367</v>
      </c>
      <c r="N215" s="1646" t="s">
        <v>551</v>
      </c>
      <c r="O215" s="1646" t="s">
        <v>566</v>
      </c>
      <c r="P215" s="1665" t="s">
        <v>3544</v>
      </c>
    </row>
    <row r="216" spans="1:16" ht="74.25" customHeight="1">
      <c r="A216" s="1843"/>
      <c r="B216" s="1791"/>
      <c r="C216" s="1826"/>
      <c r="D216" s="811" t="s">
        <v>1348</v>
      </c>
      <c r="E216" s="706">
        <f>E215</f>
        <v>4</v>
      </c>
      <c r="F216" s="706">
        <f>F215</f>
        <v>4</v>
      </c>
      <c r="G216" s="706">
        <f>G215</f>
        <v>2.8</v>
      </c>
      <c r="H216" s="813">
        <f t="shared" si="36"/>
        <v>0.7</v>
      </c>
      <c r="I216" s="706">
        <f t="shared" ref="I216" si="37">I215</f>
        <v>4</v>
      </c>
      <c r="J216" s="1788"/>
      <c r="K216" s="1700"/>
      <c r="L216" s="1646"/>
      <c r="M216" s="1646"/>
      <c r="N216" s="1646"/>
      <c r="O216" s="1646"/>
      <c r="P216" s="1671"/>
    </row>
    <row r="217" spans="1:16" ht="27.75" customHeight="1">
      <c r="A217" s="1803" t="s">
        <v>1964</v>
      </c>
      <c r="B217" s="1791" t="s">
        <v>1363</v>
      </c>
      <c r="C217" s="1826">
        <v>188711925</v>
      </c>
      <c r="D217" s="657" t="s">
        <v>668</v>
      </c>
      <c r="E217" s="701">
        <v>7.5</v>
      </c>
      <c r="F217" s="701">
        <v>5</v>
      </c>
      <c r="G217" s="701">
        <v>0</v>
      </c>
      <c r="H217" s="816">
        <f t="shared" si="36"/>
        <v>0</v>
      </c>
      <c r="I217" s="701">
        <v>0</v>
      </c>
      <c r="J217" s="1762" t="s">
        <v>2217</v>
      </c>
      <c r="K217" s="1699" t="s">
        <v>3632</v>
      </c>
      <c r="L217" s="1646" t="s">
        <v>3469</v>
      </c>
      <c r="M217" s="1646" t="s">
        <v>3758</v>
      </c>
      <c r="N217" s="1646" t="s">
        <v>566</v>
      </c>
      <c r="O217" s="1646" t="s">
        <v>566</v>
      </c>
      <c r="P217" s="1665" t="s">
        <v>3544</v>
      </c>
    </row>
    <row r="218" spans="1:16" ht="39" customHeight="1">
      <c r="A218" s="1765"/>
      <c r="B218" s="1836"/>
      <c r="C218" s="1839"/>
      <c r="D218" s="983" t="s">
        <v>1348</v>
      </c>
      <c r="E218" s="731">
        <f>E217</f>
        <v>7.5</v>
      </c>
      <c r="F218" s="731">
        <f>F217</f>
        <v>5</v>
      </c>
      <c r="G218" s="731">
        <f>G217</f>
        <v>0</v>
      </c>
      <c r="H218" s="813">
        <f t="shared" si="36"/>
        <v>0</v>
      </c>
      <c r="I218" s="731">
        <f t="shared" ref="I218" si="38">I217</f>
        <v>0</v>
      </c>
      <c r="J218" s="1788"/>
      <c r="K218" s="1840"/>
      <c r="L218" s="1646"/>
      <c r="M218" s="1646"/>
      <c r="N218" s="1646"/>
      <c r="O218" s="1646"/>
      <c r="P218" s="1671"/>
    </row>
    <row r="219" spans="1:16" s="497" customFormat="1" ht="56.25" customHeight="1">
      <c r="A219" s="469" t="s">
        <v>2830</v>
      </c>
      <c r="B219" s="496" t="s">
        <v>1970</v>
      </c>
      <c r="C219" s="690"/>
      <c r="D219" s="984"/>
      <c r="E219" s="502">
        <f>SUM(E223,E230,E233,E244,E252)</f>
        <v>209.63700000000003</v>
      </c>
      <c r="F219" s="502">
        <f>SUM(F223,F230,F233,F244,F252)</f>
        <v>833.24</v>
      </c>
      <c r="G219" s="502">
        <f>SUM(G223,G230,G233,G244,G252)</f>
        <v>232.881</v>
      </c>
      <c r="H219" s="692">
        <f t="shared" si="36"/>
        <v>0.2794885027123038</v>
      </c>
      <c r="I219" s="502">
        <f>SUM(I223,I230,I233,I244,I252)</f>
        <v>3717.4490000000001</v>
      </c>
      <c r="J219" s="501" t="s">
        <v>2619</v>
      </c>
      <c r="K219" s="1800"/>
      <c r="L219" s="1801"/>
      <c r="M219" s="1801"/>
      <c r="N219" s="1801"/>
      <c r="O219" s="1801"/>
      <c r="P219" s="1802"/>
    </row>
    <row r="220" spans="1:16" ht="27" customHeight="1">
      <c r="A220" s="1767" t="s">
        <v>2581</v>
      </c>
      <c r="B220" s="1824" t="s">
        <v>2820</v>
      </c>
      <c r="C220" s="1825" t="s">
        <v>1325</v>
      </c>
      <c r="D220" s="985" t="s">
        <v>341</v>
      </c>
      <c r="E220" s="734"/>
      <c r="F220" s="734">
        <f>SUM(F225,F226,F227,F228,)</f>
        <v>573.26200000000006</v>
      </c>
      <c r="G220" s="734">
        <f>SUM(G225,G226,G227,G228,)</f>
        <v>230.881</v>
      </c>
      <c r="H220" s="816">
        <f t="shared" si="36"/>
        <v>0.40274952813896608</v>
      </c>
      <c r="I220" s="734">
        <v>890.596</v>
      </c>
      <c r="J220" s="1764" t="s">
        <v>2209</v>
      </c>
      <c r="K220" s="1641" t="s">
        <v>3633</v>
      </c>
      <c r="L220" s="1646" t="s">
        <v>3470</v>
      </c>
      <c r="M220" s="1646" t="s">
        <v>2801</v>
      </c>
      <c r="N220" s="1646" t="s">
        <v>11</v>
      </c>
      <c r="O220" s="1646" t="s">
        <v>11</v>
      </c>
      <c r="P220" s="1665" t="s">
        <v>3626</v>
      </c>
    </row>
    <row r="221" spans="1:16" ht="25.5" customHeight="1">
      <c r="A221" s="1803"/>
      <c r="B221" s="1791"/>
      <c r="C221" s="1826"/>
      <c r="D221" s="657" t="s">
        <v>66</v>
      </c>
      <c r="E221" s="701">
        <v>60.359000000000002</v>
      </c>
      <c r="F221" s="701">
        <f>F224</f>
        <v>2</v>
      </c>
      <c r="G221" s="701">
        <f>G224</f>
        <v>2</v>
      </c>
      <c r="H221" s="816">
        <f t="shared" si="36"/>
        <v>1</v>
      </c>
      <c r="I221" s="701">
        <v>104.902</v>
      </c>
      <c r="J221" s="1764"/>
      <c r="K221" s="1700"/>
      <c r="L221" s="1646"/>
      <c r="M221" s="1646"/>
      <c r="N221" s="1646"/>
      <c r="O221" s="1646"/>
      <c r="P221" s="1666"/>
    </row>
    <row r="222" spans="1:16" ht="23.25" hidden="1" customHeight="1">
      <c r="A222" s="1803"/>
      <c r="B222" s="1791"/>
      <c r="C222" s="1826"/>
      <c r="D222" s="657" t="s">
        <v>587</v>
      </c>
      <c r="E222" s="701"/>
      <c r="F222" s="701"/>
      <c r="G222" s="701"/>
      <c r="H222" s="816"/>
      <c r="I222" s="701">
        <v>260.47000000000003</v>
      </c>
      <c r="J222" s="1764"/>
      <c r="K222" s="1700"/>
      <c r="L222" s="1646"/>
      <c r="M222" s="1646"/>
      <c r="N222" s="1646"/>
      <c r="O222" s="1646"/>
      <c r="P222" s="1666"/>
    </row>
    <row r="223" spans="1:16" ht="84" customHeight="1">
      <c r="A223" s="1803"/>
      <c r="B223" s="1791"/>
      <c r="C223" s="1826"/>
      <c r="D223" s="811" t="s">
        <v>1348</v>
      </c>
      <c r="E223" s="706">
        <f>SUM(E220:E221)</f>
        <v>60.359000000000002</v>
      </c>
      <c r="F223" s="706">
        <f>SUM(F220:F221)</f>
        <v>575.26200000000006</v>
      </c>
      <c r="G223" s="706">
        <f>SUM(G220:G221)</f>
        <v>232.881</v>
      </c>
      <c r="H223" s="813">
        <f>G223/F223</f>
        <v>0.40482597494706757</v>
      </c>
      <c r="I223" s="706">
        <f t="shared" ref="I223" si="39">SUM(I220:I222)</f>
        <v>1255.9680000000001</v>
      </c>
      <c r="J223" s="1764"/>
      <c r="K223" s="1700"/>
      <c r="L223" s="1646"/>
      <c r="M223" s="1646"/>
      <c r="N223" s="1646"/>
      <c r="O223" s="1646"/>
      <c r="P223" s="1671"/>
    </row>
    <row r="224" spans="1:16" ht="24" hidden="1" customHeight="1">
      <c r="A224" s="1834"/>
      <c r="B224" s="1789" t="s">
        <v>2855</v>
      </c>
      <c r="C224" s="976"/>
      <c r="D224" s="804" t="s">
        <v>668</v>
      </c>
      <c r="E224" s="537"/>
      <c r="F224" s="537">
        <v>2</v>
      </c>
      <c r="G224" s="537">
        <v>2</v>
      </c>
      <c r="H224" s="955"/>
      <c r="I224" s="719"/>
      <c r="J224" s="776"/>
      <c r="K224" s="1493"/>
      <c r="L224" s="483"/>
      <c r="M224" s="483"/>
      <c r="N224" s="483"/>
      <c r="O224" s="483"/>
      <c r="P224" s="913"/>
    </row>
    <row r="225" spans="1:16" ht="24.75" hidden="1" customHeight="1">
      <c r="A225" s="1835"/>
      <c r="B225" s="1837"/>
      <c r="C225" s="976"/>
      <c r="D225" s="804" t="s">
        <v>341</v>
      </c>
      <c r="E225" s="537"/>
      <c r="F225" s="537">
        <v>141.696</v>
      </c>
      <c r="G225" s="537">
        <v>62.441000000000003</v>
      </c>
      <c r="H225" s="955"/>
      <c r="I225" s="719"/>
      <c r="J225" s="776"/>
      <c r="K225" s="1493"/>
      <c r="L225" s="483"/>
      <c r="M225" s="483"/>
      <c r="N225" s="483"/>
      <c r="O225" s="483"/>
      <c r="P225" s="913"/>
    </row>
    <row r="226" spans="1:16" ht="24.75" hidden="1" customHeight="1">
      <c r="A226" s="987"/>
      <c r="B226" s="933" t="s">
        <v>1579</v>
      </c>
      <c r="C226" s="805"/>
      <c r="D226" s="804" t="s">
        <v>341</v>
      </c>
      <c r="E226" s="537"/>
      <c r="F226" s="537">
        <v>206.899</v>
      </c>
      <c r="G226" s="537">
        <v>110.46299999999999</v>
      </c>
      <c r="H226" s="955"/>
      <c r="I226" s="719"/>
      <c r="J226" s="776"/>
      <c r="K226" s="1493"/>
      <c r="L226" s="483"/>
      <c r="M226" s="483"/>
      <c r="N226" s="483"/>
      <c r="O226" s="483"/>
      <c r="P226" s="913"/>
    </row>
    <row r="227" spans="1:16" ht="21.75" hidden="1" customHeight="1">
      <c r="A227" s="987"/>
      <c r="B227" s="988" t="s">
        <v>1575</v>
      </c>
      <c r="C227" s="805"/>
      <c r="D227" s="804" t="s">
        <v>341</v>
      </c>
      <c r="E227" s="537"/>
      <c r="F227" s="537">
        <v>217.923</v>
      </c>
      <c r="G227" s="537">
        <v>52.381999999999998</v>
      </c>
      <c r="H227" s="955"/>
      <c r="I227" s="719"/>
      <c r="J227" s="776"/>
      <c r="K227" s="1493"/>
      <c r="L227" s="483"/>
      <c r="M227" s="483"/>
      <c r="N227" s="483"/>
      <c r="O227" s="483"/>
      <c r="P227" s="913"/>
    </row>
    <row r="228" spans="1:16" ht="24.75" hidden="1" customHeight="1">
      <c r="A228" s="989"/>
      <c r="B228" s="907" t="s">
        <v>715</v>
      </c>
      <c r="C228" s="990"/>
      <c r="D228" s="804" t="s">
        <v>341</v>
      </c>
      <c r="E228" s="719"/>
      <c r="F228" s="719">
        <v>6.7439999999999998</v>
      </c>
      <c r="G228" s="537">
        <v>5.5949999999999998</v>
      </c>
      <c r="H228" s="955"/>
      <c r="I228" s="719"/>
      <c r="J228" s="776"/>
      <c r="K228" s="1493"/>
      <c r="L228" s="483"/>
      <c r="M228" s="483"/>
      <c r="N228" s="483"/>
      <c r="O228" s="483"/>
      <c r="P228" s="913"/>
    </row>
    <row r="229" spans="1:16" ht="34.200000000000003" customHeight="1">
      <c r="A229" s="1803" t="s">
        <v>2829</v>
      </c>
      <c r="B229" s="1791" t="s">
        <v>2744</v>
      </c>
      <c r="C229" s="1826">
        <v>188711925</v>
      </c>
      <c r="D229" s="657" t="s">
        <v>66</v>
      </c>
      <c r="E229" s="701">
        <v>100</v>
      </c>
      <c r="F229" s="701">
        <v>45.707000000000001</v>
      </c>
      <c r="G229" s="701">
        <v>0</v>
      </c>
      <c r="H229" s="816">
        <f>G229/F229</f>
        <v>0</v>
      </c>
      <c r="I229" s="701">
        <v>230.19</v>
      </c>
      <c r="J229" s="1762" t="s">
        <v>2210</v>
      </c>
      <c r="K229" s="1699" t="s">
        <v>3634</v>
      </c>
      <c r="L229" s="1646" t="s">
        <v>3471</v>
      </c>
      <c r="M229" s="1646" t="s">
        <v>1369</v>
      </c>
      <c r="N229" s="1646" t="s">
        <v>469</v>
      </c>
      <c r="O229" s="1646" t="s">
        <v>613</v>
      </c>
      <c r="P229" s="1665" t="s">
        <v>3626</v>
      </c>
    </row>
    <row r="230" spans="1:16" ht="60.75" customHeight="1">
      <c r="A230" s="1803"/>
      <c r="B230" s="1836"/>
      <c r="C230" s="1839"/>
      <c r="D230" s="983" t="s">
        <v>1348</v>
      </c>
      <c r="E230" s="731">
        <f>E229</f>
        <v>100</v>
      </c>
      <c r="F230" s="731">
        <f t="shared" ref="F230:G230" si="40">F229</f>
        <v>45.707000000000001</v>
      </c>
      <c r="G230" s="731">
        <f t="shared" si="40"/>
        <v>0</v>
      </c>
      <c r="H230" s="1556">
        <f>G230/F230</f>
        <v>0</v>
      </c>
      <c r="I230" s="731">
        <f t="shared" ref="I230" si="41">I229</f>
        <v>230.19</v>
      </c>
      <c r="J230" s="1763"/>
      <c r="K230" s="1700"/>
      <c r="L230" s="1646"/>
      <c r="M230" s="1646"/>
      <c r="N230" s="1646"/>
      <c r="O230" s="1646"/>
      <c r="P230" s="1671"/>
    </row>
    <row r="231" spans="1:16" ht="34.5" customHeight="1">
      <c r="A231" s="1805" t="s">
        <v>1965</v>
      </c>
      <c r="B231" s="1691" t="s">
        <v>2802</v>
      </c>
      <c r="C231" s="1696" t="s">
        <v>1325</v>
      </c>
      <c r="D231" s="628" t="s">
        <v>66</v>
      </c>
      <c r="E231" s="701">
        <v>21</v>
      </c>
      <c r="F231" s="701">
        <f>SUM(F236,F237,F238,F239,F240,F241,)</f>
        <v>125.461</v>
      </c>
      <c r="G231" s="701">
        <v>0</v>
      </c>
      <c r="H231" s="816">
        <f>G231/F231</f>
        <v>0</v>
      </c>
      <c r="I231" s="701">
        <v>309.54000000000002</v>
      </c>
      <c r="J231" s="1764" t="s">
        <v>2211</v>
      </c>
      <c r="K231" s="1797" t="s">
        <v>3635</v>
      </c>
      <c r="L231" s="1637" t="s">
        <v>1903</v>
      </c>
      <c r="M231" s="1637" t="s">
        <v>3759</v>
      </c>
      <c r="N231" s="1637" t="s">
        <v>613</v>
      </c>
      <c r="O231" s="1637" t="s">
        <v>613</v>
      </c>
      <c r="P231" s="1665" t="s">
        <v>3626</v>
      </c>
    </row>
    <row r="232" spans="1:16" ht="33" hidden="1" customHeight="1">
      <c r="A232" s="1805"/>
      <c r="B232" s="1691"/>
      <c r="C232" s="1696"/>
      <c r="D232" s="628" t="s">
        <v>341</v>
      </c>
      <c r="E232" s="701"/>
      <c r="F232" s="701"/>
      <c r="G232" s="701">
        <v>0</v>
      </c>
      <c r="H232" s="816"/>
      <c r="I232" s="701">
        <v>765</v>
      </c>
      <c r="J232" s="1764"/>
      <c r="K232" s="1797"/>
      <c r="L232" s="1638"/>
      <c r="M232" s="1638"/>
      <c r="N232" s="1638"/>
      <c r="O232" s="1638"/>
      <c r="P232" s="1666"/>
    </row>
    <row r="233" spans="1:16" ht="26.5" customHeight="1">
      <c r="A233" s="1805"/>
      <c r="B233" s="1691"/>
      <c r="C233" s="1696"/>
      <c r="D233" s="1693" t="s">
        <v>1348</v>
      </c>
      <c r="E233" s="1786">
        <f>SUM(E231:E232)</f>
        <v>21</v>
      </c>
      <c r="F233" s="1786">
        <f>SUM(F231:F232)</f>
        <v>125.461</v>
      </c>
      <c r="G233" s="1786">
        <f>SUM(G231:G232)</f>
        <v>0</v>
      </c>
      <c r="H233" s="1809">
        <f>G233/F233</f>
        <v>0</v>
      </c>
      <c r="I233" s="1786">
        <f t="shared" ref="I233" si="42">SUM(I231:I232)</f>
        <v>1074.54</v>
      </c>
      <c r="J233" s="1764"/>
      <c r="K233" s="1797"/>
      <c r="L233" s="1638"/>
      <c r="M233" s="1638"/>
      <c r="N233" s="1638"/>
      <c r="O233" s="1638"/>
      <c r="P233" s="1666"/>
    </row>
    <row r="234" spans="1:16" ht="38.5" customHeight="1">
      <c r="A234" s="1805"/>
      <c r="B234" s="1691"/>
      <c r="C234" s="1696"/>
      <c r="D234" s="1693"/>
      <c r="E234" s="1786"/>
      <c r="F234" s="1786"/>
      <c r="G234" s="1786"/>
      <c r="H234" s="1809" t="e">
        <f>I234/E234-1</f>
        <v>#DIV/0!</v>
      </c>
      <c r="I234" s="1786"/>
      <c r="J234" s="1764"/>
      <c r="K234" s="1797"/>
      <c r="L234" s="1638"/>
      <c r="M234" s="1638"/>
      <c r="N234" s="1638"/>
      <c r="O234" s="1638"/>
      <c r="P234" s="1666"/>
    </row>
    <row r="235" spans="1:16" ht="15" customHeight="1">
      <c r="A235" s="1830"/>
      <c r="B235" s="1691"/>
      <c r="C235" s="1832"/>
      <c r="D235" s="1693"/>
      <c r="E235" s="1786"/>
      <c r="F235" s="1786"/>
      <c r="G235" s="1786"/>
      <c r="H235" s="1809" t="e">
        <f>I235/E235-1</f>
        <v>#DIV/0!</v>
      </c>
      <c r="I235" s="1786"/>
      <c r="J235" s="1764"/>
      <c r="K235" s="1798"/>
      <c r="L235" s="1638"/>
      <c r="M235" s="1639"/>
      <c r="N235" s="1639"/>
      <c r="O235" s="1639"/>
      <c r="P235" s="1671"/>
    </row>
    <row r="236" spans="1:16" ht="31.5" hidden="1" customHeight="1">
      <c r="A236" s="995"/>
      <c r="B236" s="1000" t="s">
        <v>1584</v>
      </c>
      <c r="C236" s="1001"/>
      <c r="D236" s="1561"/>
      <c r="E236" s="719"/>
      <c r="F236" s="537">
        <v>30.06</v>
      </c>
      <c r="G236" s="537">
        <v>0</v>
      </c>
      <c r="H236" s="1075"/>
      <c r="I236" s="719"/>
      <c r="J236" s="770"/>
      <c r="K236" s="1510"/>
      <c r="L236" s="485"/>
      <c r="M236" s="483"/>
      <c r="N236" s="483"/>
      <c r="O236" s="483"/>
      <c r="P236" s="913"/>
    </row>
    <row r="237" spans="1:16" ht="25.5" hidden="1" customHeight="1">
      <c r="A237" s="995"/>
      <c r="B237" s="804" t="s">
        <v>715</v>
      </c>
      <c r="C237" s="1001"/>
      <c r="D237" s="1561"/>
      <c r="E237" s="719"/>
      <c r="F237" s="537"/>
      <c r="G237" s="537">
        <v>0</v>
      </c>
      <c r="H237" s="1075"/>
      <c r="I237" s="719"/>
      <c r="J237" s="770"/>
      <c r="K237" s="1510"/>
      <c r="L237" s="485"/>
      <c r="M237" s="483"/>
      <c r="N237" s="483"/>
      <c r="O237" s="483"/>
      <c r="P237" s="913"/>
    </row>
    <row r="238" spans="1:16" ht="21.75" hidden="1" customHeight="1">
      <c r="A238" s="995"/>
      <c r="B238" s="804" t="s">
        <v>1583</v>
      </c>
      <c r="C238" s="1001"/>
      <c r="D238" s="1561"/>
      <c r="E238" s="719"/>
      <c r="F238" s="537">
        <v>20.190000000000001</v>
      </c>
      <c r="G238" s="537">
        <v>0</v>
      </c>
      <c r="H238" s="1075"/>
      <c r="I238" s="719"/>
      <c r="J238" s="770"/>
      <c r="K238" s="1510"/>
      <c r="L238" s="485"/>
      <c r="M238" s="483"/>
      <c r="N238" s="483"/>
      <c r="O238" s="483"/>
      <c r="P238" s="913"/>
    </row>
    <row r="239" spans="1:16" ht="24" hidden="1" customHeight="1">
      <c r="A239" s="995"/>
      <c r="B239" s="804" t="s">
        <v>1580</v>
      </c>
      <c r="C239" s="1001"/>
      <c r="D239" s="1561"/>
      <c r="E239" s="719"/>
      <c r="F239" s="537">
        <v>27.600999999999999</v>
      </c>
      <c r="G239" s="537">
        <v>0</v>
      </c>
      <c r="H239" s="1075"/>
      <c r="I239" s="719"/>
      <c r="J239" s="770"/>
      <c r="K239" s="1510"/>
      <c r="L239" s="485"/>
      <c r="M239" s="483"/>
      <c r="N239" s="483"/>
      <c r="O239" s="483"/>
      <c r="P239" s="913"/>
    </row>
    <row r="240" spans="1:16" ht="16.5" hidden="1" customHeight="1">
      <c r="A240" s="995"/>
      <c r="B240" s="1000" t="s">
        <v>1582</v>
      </c>
      <c r="C240" s="1001"/>
      <c r="D240" s="1561"/>
      <c r="E240" s="719"/>
      <c r="F240" s="537">
        <v>22.52</v>
      </c>
      <c r="G240" s="537">
        <v>0</v>
      </c>
      <c r="H240" s="1075"/>
      <c r="I240" s="719"/>
      <c r="J240" s="770"/>
      <c r="K240" s="1511"/>
      <c r="L240" s="485"/>
      <c r="M240" s="483"/>
      <c r="N240" s="483"/>
      <c r="O240" s="483"/>
      <c r="P240" s="913"/>
    </row>
    <row r="241" spans="1:16" ht="24.75" hidden="1" customHeight="1">
      <c r="A241" s="995"/>
      <c r="B241" s="1000" t="s">
        <v>1581</v>
      </c>
      <c r="C241" s="1001"/>
      <c r="D241" s="1561"/>
      <c r="E241" s="719"/>
      <c r="F241" s="537">
        <v>25.09</v>
      </c>
      <c r="G241" s="537">
        <v>0</v>
      </c>
      <c r="H241" s="1075"/>
      <c r="I241" s="719"/>
      <c r="J241" s="770"/>
      <c r="K241" s="1559"/>
      <c r="L241" s="485"/>
      <c r="M241" s="483"/>
      <c r="N241" s="483"/>
      <c r="O241" s="483"/>
      <c r="P241" s="913"/>
    </row>
    <row r="242" spans="1:16" ht="54" customHeight="1">
      <c r="A242" s="1805" t="s">
        <v>1966</v>
      </c>
      <c r="B242" s="1691" t="s">
        <v>2803</v>
      </c>
      <c r="C242" s="1696" t="s">
        <v>1325</v>
      </c>
      <c r="D242" s="628" t="s">
        <v>66</v>
      </c>
      <c r="E242" s="701">
        <v>12.038</v>
      </c>
      <c r="F242" s="701">
        <f>SUM(F247,F248,F249,)</f>
        <v>28.04</v>
      </c>
      <c r="G242" s="701">
        <v>0</v>
      </c>
      <c r="H242" s="816">
        <f>G242/F242</f>
        <v>0</v>
      </c>
      <c r="I242" s="701">
        <v>109.631</v>
      </c>
      <c r="J242" s="1764" t="s">
        <v>2212</v>
      </c>
      <c r="K242" s="1687" t="s">
        <v>3636</v>
      </c>
      <c r="L242" s="1646" t="s">
        <v>3472</v>
      </c>
      <c r="M242" s="1637" t="s">
        <v>3567</v>
      </c>
      <c r="N242" s="1637" t="s">
        <v>613</v>
      </c>
      <c r="O242" s="1637" t="s">
        <v>613</v>
      </c>
      <c r="P242" s="1665" t="s">
        <v>3626</v>
      </c>
    </row>
    <row r="243" spans="1:16" ht="38.5" hidden="1" customHeight="1">
      <c r="A243" s="1805"/>
      <c r="B243" s="1691"/>
      <c r="C243" s="1696"/>
      <c r="D243" s="628" t="s">
        <v>341</v>
      </c>
      <c r="E243" s="701"/>
      <c r="F243" s="701"/>
      <c r="G243" s="701"/>
      <c r="H243" s="816"/>
      <c r="I243" s="701">
        <v>292.35000000000002</v>
      </c>
      <c r="J243" s="1764"/>
      <c r="K243" s="1797"/>
      <c r="L243" s="1646"/>
      <c r="M243" s="1638"/>
      <c r="N243" s="1638"/>
      <c r="O243" s="1638"/>
      <c r="P243" s="1666"/>
    </row>
    <row r="244" spans="1:16" ht="36.65" customHeight="1">
      <c r="A244" s="1805"/>
      <c r="B244" s="1691"/>
      <c r="C244" s="1696"/>
      <c r="D244" s="1693" t="s">
        <v>1348</v>
      </c>
      <c r="E244" s="1786">
        <f>SUM(E242:E243)</f>
        <v>12.038</v>
      </c>
      <c r="F244" s="1786">
        <f>SUM(F242:F243)</f>
        <v>28.04</v>
      </c>
      <c r="G244" s="1786">
        <f>SUM(G242:G243)</f>
        <v>0</v>
      </c>
      <c r="H244" s="1809">
        <f>G244/F244</f>
        <v>0</v>
      </c>
      <c r="I244" s="1786">
        <f t="shared" ref="I244" si="43">SUM(I242:I243)</f>
        <v>401.98099999999999</v>
      </c>
      <c r="J244" s="1764"/>
      <c r="K244" s="1797"/>
      <c r="L244" s="1646"/>
      <c r="M244" s="1638"/>
      <c r="N244" s="1638"/>
      <c r="O244" s="1638"/>
      <c r="P244" s="1666"/>
    </row>
    <row r="245" spans="1:16" ht="32.5" customHeight="1">
      <c r="A245" s="1830"/>
      <c r="B245" s="1691"/>
      <c r="C245" s="1832"/>
      <c r="D245" s="1693"/>
      <c r="E245" s="1786"/>
      <c r="F245" s="1786"/>
      <c r="G245" s="1786"/>
      <c r="H245" s="1809" t="e">
        <f>I245/E245-1</f>
        <v>#DIV/0!</v>
      </c>
      <c r="I245" s="1786"/>
      <c r="J245" s="1764"/>
      <c r="K245" s="1798"/>
      <c r="L245" s="1646"/>
      <c r="M245" s="1638"/>
      <c r="N245" s="1638"/>
      <c r="O245" s="1638"/>
      <c r="P245" s="1666"/>
    </row>
    <row r="246" spans="1:16" ht="45.75" customHeight="1">
      <c r="A246" s="1830"/>
      <c r="B246" s="1691"/>
      <c r="C246" s="1832"/>
      <c r="D246" s="1693"/>
      <c r="E246" s="1786"/>
      <c r="F246" s="1786"/>
      <c r="G246" s="1786"/>
      <c r="H246" s="1809" t="e">
        <f>I246/E246-1</f>
        <v>#DIV/0!</v>
      </c>
      <c r="I246" s="1786"/>
      <c r="J246" s="1764"/>
      <c r="K246" s="1798"/>
      <c r="L246" s="1646"/>
      <c r="M246" s="1639"/>
      <c r="N246" s="1639"/>
      <c r="O246" s="1639"/>
      <c r="P246" s="1671"/>
    </row>
    <row r="247" spans="1:16" ht="21" hidden="1" customHeight="1">
      <c r="A247" s="995"/>
      <c r="B247" s="804" t="s">
        <v>1576</v>
      </c>
      <c r="C247" s="1001"/>
      <c r="D247" s="1561"/>
      <c r="E247" s="719"/>
      <c r="F247" s="537">
        <v>13.39</v>
      </c>
      <c r="G247" s="537">
        <v>0</v>
      </c>
      <c r="H247" s="1004"/>
      <c r="I247" s="719"/>
      <c r="J247" s="770"/>
      <c r="K247" s="1510"/>
      <c r="L247" s="483"/>
      <c r="M247" s="835"/>
      <c r="N247" s="835"/>
      <c r="O247" s="835"/>
      <c r="P247" s="913"/>
    </row>
    <row r="248" spans="1:16" ht="20.25" hidden="1" customHeight="1">
      <c r="A248" s="995"/>
      <c r="B248" s="804" t="s">
        <v>1577</v>
      </c>
      <c r="C248" s="1001"/>
      <c r="D248" s="1561"/>
      <c r="E248" s="719"/>
      <c r="F248" s="537">
        <v>14.65</v>
      </c>
      <c r="G248" s="537">
        <v>0</v>
      </c>
      <c r="H248" s="1004"/>
      <c r="I248" s="719"/>
      <c r="J248" s="770"/>
      <c r="K248" s="1510"/>
      <c r="L248" s="483"/>
      <c r="M248" s="835"/>
      <c r="N248" s="835"/>
      <c r="O248" s="835"/>
      <c r="P248" s="913"/>
    </row>
    <row r="249" spans="1:16" ht="21.75" hidden="1" customHeight="1">
      <c r="A249" s="995"/>
      <c r="B249" s="1000" t="s">
        <v>1576</v>
      </c>
      <c r="C249" s="1001"/>
      <c r="D249" s="1561"/>
      <c r="E249" s="719"/>
      <c r="F249" s="1007"/>
      <c r="G249" s="537">
        <v>0</v>
      </c>
      <c r="H249" s="1004"/>
      <c r="I249" s="719"/>
      <c r="J249" s="770"/>
      <c r="K249" s="1510"/>
      <c r="L249" s="483"/>
      <c r="M249" s="835"/>
      <c r="N249" s="835"/>
      <c r="O249" s="835"/>
      <c r="P249" s="913"/>
    </row>
    <row r="250" spans="1:16" ht="36" hidden="1" customHeight="1">
      <c r="A250" s="1805" t="s">
        <v>1967</v>
      </c>
      <c r="B250" s="1691" t="s">
        <v>2740</v>
      </c>
      <c r="C250" s="1696" t="s">
        <v>1325</v>
      </c>
      <c r="D250" s="628" t="s">
        <v>341</v>
      </c>
      <c r="E250" s="701"/>
      <c r="F250" s="701"/>
      <c r="G250" s="701"/>
      <c r="H250" s="816"/>
      <c r="I250" s="701">
        <v>591.6</v>
      </c>
      <c r="J250" s="1764" t="s">
        <v>2213</v>
      </c>
      <c r="K250" s="1797" t="s">
        <v>3637</v>
      </c>
      <c r="L250" s="1646" t="s">
        <v>1368</v>
      </c>
      <c r="M250" s="1637" t="s">
        <v>3638</v>
      </c>
      <c r="N250" s="1637" t="s">
        <v>613</v>
      </c>
      <c r="O250" s="1637" t="s">
        <v>613</v>
      </c>
      <c r="P250" s="657"/>
    </row>
    <row r="251" spans="1:16" ht="34.950000000000003" customHeight="1">
      <c r="A251" s="1830"/>
      <c r="B251" s="1691"/>
      <c r="C251" s="1832"/>
      <c r="D251" s="657" t="s">
        <v>66</v>
      </c>
      <c r="E251" s="701">
        <v>16.239999999999998</v>
      </c>
      <c r="F251" s="701">
        <f>F254+F255+F256+F257</f>
        <v>58.769999999999996</v>
      </c>
      <c r="G251" s="701">
        <v>0</v>
      </c>
      <c r="H251" s="816">
        <f>G251/F251</f>
        <v>0</v>
      </c>
      <c r="I251" s="701">
        <v>163.16999999999999</v>
      </c>
      <c r="J251" s="1764"/>
      <c r="K251" s="1798"/>
      <c r="L251" s="1646"/>
      <c r="M251" s="1638"/>
      <c r="N251" s="1638"/>
      <c r="O251" s="1638"/>
      <c r="P251" s="1665" t="s">
        <v>3626</v>
      </c>
    </row>
    <row r="252" spans="1:16" ht="25.5" customHeight="1">
      <c r="A252" s="1830"/>
      <c r="B252" s="1691"/>
      <c r="C252" s="1832"/>
      <c r="D252" s="1693" t="s">
        <v>1348</v>
      </c>
      <c r="E252" s="1786">
        <f>SUM(E250:E251)</f>
        <v>16.239999999999998</v>
      </c>
      <c r="F252" s="1786">
        <f t="shared" ref="F252:G252" si="44">SUM(F250:F251)</f>
        <v>58.769999999999996</v>
      </c>
      <c r="G252" s="1786">
        <f t="shared" si="44"/>
        <v>0</v>
      </c>
      <c r="H252" s="1794">
        <f>G252/F252</f>
        <v>0</v>
      </c>
      <c r="I252" s="1786">
        <f>SUM(I250:I251)</f>
        <v>754.77</v>
      </c>
      <c r="J252" s="1764"/>
      <c r="K252" s="1798"/>
      <c r="L252" s="1646"/>
      <c r="M252" s="1638"/>
      <c r="N252" s="1638"/>
      <c r="O252" s="1638"/>
      <c r="P252" s="1666"/>
    </row>
    <row r="253" spans="1:16" ht="70.5" customHeight="1">
      <c r="A253" s="1831"/>
      <c r="B253" s="1691"/>
      <c r="C253" s="1832"/>
      <c r="D253" s="1693"/>
      <c r="E253" s="1786"/>
      <c r="F253" s="1786"/>
      <c r="G253" s="1786"/>
      <c r="H253" s="1794" t="e">
        <f>I253/E253-1</f>
        <v>#DIV/0!</v>
      </c>
      <c r="I253" s="1786"/>
      <c r="J253" s="1764"/>
      <c r="K253" s="1799"/>
      <c r="L253" s="1646"/>
      <c r="M253" s="1639"/>
      <c r="N253" s="1639"/>
      <c r="O253" s="1639"/>
      <c r="P253" s="1671"/>
    </row>
    <row r="254" spans="1:16" ht="21.75" hidden="1" customHeight="1">
      <c r="A254" s="993"/>
      <c r="B254" s="986" t="s">
        <v>1576</v>
      </c>
      <c r="C254" s="1560"/>
      <c r="D254" s="1003"/>
      <c r="E254" s="713"/>
      <c r="F254" s="538">
        <v>27.91</v>
      </c>
      <c r="G254" s="538">
        <v>0</v>
      </c>
      <c r="H254" s="998"/>
      <c r="I254" s="713"/>
      <c r="J254" s="999"/>
      <c r="K254" s="1493"/>
      <c r="L254" s="483"/>
      <c r="M254" s="835"/>
      <c r="N254" s="835"/>
      <c r="O254" s="835"/>
      <c r="P254" s="913"/>
    </row>
    <row r="255" spans="1:16" ht="18.75" hidden="1" customHeight="1">
      <c r="A255" s="993"/>
      <c r="B255" s="929" t="s">
        <v>1577</v>
      </c>
      <c r="C255" s="997"/>
      <c r="D255" s="1005"/>
      <c r="E255" s="719"/>
      <c r="F255" s="537">
        <v>30.86</v>
      </c>
      <c r="G255" s="537">
        <v>0</v>
      </c>
      <c r="H255" s="1004"/>
      <c r="I255" s="713"/>
      <c r="J255" s="999"/>
      <c r="K255" s="1493"/>
      <c r="L255" s="483"/>
      <c r="M255" s="835"/>
      <c r="N255" s="835"/>
      <c r="O255" s="835"/>
      <c r="P255" s="913"/>
    </row>
    <row r="256" spans="1:16" ht="21" hidden="1" customHeight="1">
      <c r="A256" s="995"/>
      <c r="B256" s="988" t="s">
        <v>1576</v>
      </c>
      <c r="C256" s="994"/>
      <c r="D256" s="1006"/>
      <c r="E256" s="719"/>
      <c r="F256" s="1007"/>
      <c r="G256" s="537">
        <v>0</v>
      </c>
      <c r="H256" s="1004"/>
      <c r="I256" s="713"/>
      <c r="J256" s="999"/>
      <c r="K256" s="1493"/>
      <c r="L256" s="483"/>
      <c r="M256" s="835"/>
      <c r="N256" s="835"/>
      <c r="O256" s="835"/>
      <c r="P256" s="913"/>
    </row>
    <row r="257" spans="1:16" ht="24.75" hidden="1" customHeight="1">
      <c r="A257" s="1008"/>
      <c r="B257" s="988" t="s">
        <v>715</v>
      </c>
      <c r="C257" s="994"/>
      <c r="D257" s="1006"/>
      <c r="E257" s="719"/>
      <c r="F257" s="1007"/>
      <c r="G257" s="537">
        <v>0</v>
      </c>
      <c r="H257" s="1004"/>
      <c r="I257" s="713"/>
      <c r="J257" s="999"/>
      <c r="K257" s="1493"/>
      <c r="L257" s="483"/>
      <c r="M257" s="835"/>
      <c r="N257" s="835"/>
      <c r="O257" s="835"/>
      <c r="P257" s="913"/>
    </row>
    <row r="258" spans="1:16" s="497" customFormat="1" ht="62.25" customHeight="1">
      <c r="A258" s="469" t="s">
        <v>1974</v>
      </c>
      <c r="B258" s="695" t="s">
        <v>2798</v>
      </c>
      <c r="C258" s="1009"/>
      <c r="D258" s="695"/>
      <c r="E258" s="697">
        <f>E260</f>
        <v>30</v>
      </c>
      <c r="F258" s="697"/>
      <c r="G258" s="697">
        <f>G260</f>
        <v>29.952999999999999</v>
      </c>
      <c r="H258" s="903">
        <f>I258/E258-1</f>
        <v>2.2518333333333334</v>
      </c>
      <c r="I258" s="502">
        <f>I260+I262</f>
        <v>97.555000000000007</v>
      </c>
      <c r="J258" s="501" t="s">
        <v>2642</v>
      </c>
      <c r="K258" s="1800"/>
      <c r="L258" s="1801"/>
      <c r="M258" s="1801"/>
      <c r="N258" s="1801"/>
      <c r="O258" s="1801"/>
      <c r="P258" s="1802"/>
    </row>
    <row r="259" spans="1:16" ht="27" customHeight="1">
      <c r="A259" s="1803" t="s">
        <v>1968</v>
      </c>
      <c r="B259" s="1824" t="s">
        <v>2804</v>
      </c>
      <c r="C259" s="1825" t="s">
        <v>1325</v>
      </c>
      <c r="D259" s="657" t="s">
        <v>668</v>
      </c>
      <c r="E259" s="701">
        <v>30</v>
      </c>
      <c r="F259" s="701">
        <f>SUM(F266,F267,F268,F269,F270,F271,F272,F273,F274,F275)</f>
        <v>30</v>
      </c>
      <c r="G259" s="701">
        <f>SUM(G266,G267,G268,G269,G270,G271,G272,G273,G274,G275)</f>
        <v>29.952999999999999</v>
      </c>
      <c r="H259" s="816">
        <f>G259/F259</f>
        <v>0.99843333333333328</v>
      </c>
      <c r="I259" s="701">
        <v>50</v>
      </c>
      <c r="J259" s="1762" t="s">
        <v>2214</v>
      </c>
      <c r="K259" s="1699" t="s">
        <v>3760</v>
      </c>
      <c r="L259" s="1646" t="s">
        <v>99</v>
      </c>
      <c r="M259" s="1646" t="s">
        <v>2895</v>
      </c>
      <c r="N259" s="1646" t="s">
        <v>11</v>
      </c>
      <c r="O259" s="1646" t="s">
        <v>251</v>
      </c>
      <c r="P259" s="1665" t="s">
        <v>3545</v>
      </c>
    </row>
    <row r="260" spans="1:16" ht="33.75" customHeight="1">
      <c r="A260" s="1803"/>
      <c r="B260" s="1791">
        <f>SUM(B259:B259)</f>
        <v>0</v>
      </c>
      <c r="C260" s="1833">
        <f>SUM(C259:C259)</f>
        <v>0</v>
      </c>
      <c r="D260" s="811" t="s">
        <v>1348</v>
      </c>
      <c r="E260" s="706">
        <f>E259</f>
        <v>30</v>
      </c>
      <c r="F260" s="706">
        <f>F259</f>
        <v>30</v>
      </c>
      <c r="G260" s="706">
        <f>G259</f>
        <v>29.952999999999999</v>
      </c>
      <c r="H260" s="813">
        <f>G260/F260</f>
        <v>0.99843333333333328</v>
      </c>
      <c r="I260" s="706">
        <f t="shared" ref="I260" si="45">I259</f>
        <v>50</v>
      </c>
      <c r="J260" s="1763"/>
      <c r="K260" s="1700"/>
      <c r="L260" s="1646"/>
      <c r="M260" s="1646"/>
      <c r="N260" s="1646"/>
      <c r="O260" s="1646"/>
      <c r="P260" s="1671"/>
    </row>
    <row r="261" spans="1:16" ht="20.149999999999999" hidden="1" customHeight="1">
      <c r="A261" s="1842" t="s">
        <v>2617</v>
      </c>
      <c r="B261" s="1824" t="s">
        <v>2590</v>
      </c>
      <c r="C261" s="1825" t="s">
        <v>1325</v>
      </c>
      <c r="D261" s="657" t="s">
        <v>1349</v>
      </c>
      <c r="E261" s="701">
        <v>0</v>
      </c>
      <c r="F261" s="701"/>
      <c r="G261" s="701"/>
      <c r="H261" s="816"/>
      <c r="I261" s="701">
        <f>SUM(I263:I265)</f>
        <v>47.555</v>
      </c>
      <c r="J261" s="1763"/>
      <c r="K261" s="1699" t="s">
        <v>2805</v>
      </c>
      <c r="L261" s="1646" t="s">
        <v>1718</v>
      </c>
      <c r="M261" s="1646" t="s">
        <v>2616</v>
      </c>
      <c r="N261" s="1646" t="s">
        <v>551</v>
      </c>
      <c r="O261" s="1646" t="s">
        <v>551</v>
      </c>
      <c r="P261" s="885"/>
    </row>
    <row r="262" spans="1:16" ht="100.2" hidden="1" customHeight="1">
      <c r="A262" s="1765"/>
      <c r="B262" s="1836"/>
      <c r="C262" s="1841">
        <f>SUM(C261:C261)</f>
        <v>0</v>
      </c>
      <c r="D262" s="811" t="s">
        <v>1348</v>
      </c>
      <c r="E262" s="706">
        <f>E261</f>
        <v>0</v>
      </c>
      <c r="F262" s="706"/>
      <c r="G262" s="706"/>
      <c r="H262" s="813"/>
      <c r="I262" s="706">
        <f t="shared" ref="I262" si="46">I261</f>
        <v>47.555</v>
      </c>
      <c r="J262" s="1788"/>
      <c r="K262" s="1700"/>
      <c r="L262" s="1646"/>
      <c r="M262" s="1646"/>
      <c r="N262" s="1646"/>
      <c r="O262" s="1646"/>
      <c r="P262" s="885"/>
    </row>
    <row r="263" spans="1:16" ht="22.5" hidden="1" customHeight="1">
      <c r="A263" s="504"/>
      <c r="B263" s="641" t="s">
        <v>2593</v>
      </c>
      <c r="C263" s="794"/>
      <c r="D263" s="1010"/>
      <c r="E263" s="713"/>
      <c r="F263" s="713"/>
      <c r="G263" s="713"/>
      <c r="H263" s="955"/>
      <c r="I263" s="466">
        <v>10.95</v>
      </c>
      <c r="J263" s="714"/>
      <c r="K263" s="1493"/>
      <c r="L263" s="1011"/>
      <c r="M263" s="1011"/>
      <c r="N263" s="1012"/>
      <c r="O263" s="1012"/>
      <c r="P263" s="885"/>
    </row>
    <row r="264" spans="1:16" ht="21.75" hidden="1" customHeight="1">
      <c r="A264" s="1013"/>
      <c r="B264" s="641" t="s">
        <v>2594</v>
      </c>
      <c r="C264" s="794"/>
      <c r="D264" s="1010"/>
      <c r="E264" s="713"/>
      <c r="F264" s="713"/>
      <c r="G264" s="713"/>
      <c r="H264" s="955"/>
      <c r="I264" s="466">
        <v>11.452999999999999</v>
      </c>
      <c r="J264" s="714"/>
      <c r="K264" s="1493"/>
      <c r="L264" s="1011"/>
      <c r="M264" s="1011"/>
      <c r="N264" s="1012"/>
      <c r="O264" s="1012"/>
      <c r="P264" s="885"/>
    </row>
    <row r="265" spans="1:16" ht="20.25" hidden="1" customHeight="1">
      <c r="A265" s="1013"/>
      <c r="B265" s="641" t="s">
        <v>2595</v>
      </c>
      <c r="C265" s="794"/>
      <c r="D265" s="1010"/>
      <c r="E265" s="713"/>
      <c r="F265" s="713"/>
      <c r="G265" s="713"/>
      <c r="H265" s="955"/>
      <c r="I265" s="466">
        <v>25.152000000000001</v>
      </c>
      <c r="J265" s="714"/>
      <c r="K265" s="1493"/>
      <c r="L265" s="1014"/>
      <c r="M265" s="1014"/>
      <c r="N265" s="1015"/>
      <c r="O265" s="1015"/>
      <c r="P265" s="885"/>
    </row>
    <row r="266" spans="1:16" ht="20.25" hidden="1" customHeight="1">
      <c r="A266" s="613"/>
      <c r="B266" s="1000" t="s">
        <v>1579</v>
      </c>
      <c r="C266" s="878"/>
      <c r="D266" s="1016"/>
      <c r="E266" s="1007"/>
      <c r="F266" s="537">
        <v>0.48799999999999999</v>
      </c>
      <c r="G266" s="537">
        <v>0.48799999999999999</v>
      </c>
      <c r="H266" s="856"/>
      <c r="I266" s="537"/>
      <c r="J266" s="911"/>
      <c r="K266" s="1507"/>
      <c r="L266" s="616"/>
      <c r="M266" s="616"/>
      <c r="N266" s="912" t="s">
        <v>3537</v>
      </c>
      <c r="O266" s="912"/>
      <c r="P266" s="885"/>
    </row>
    <row r="267" spans="1:16" ht="20.25" hidden="1" customHeight="1">
      <c r="A267" s="613"/>
      <c r="B267" s="1000" t="s">
        <v>1575</v>
      </c>
      <c r="C267" s="878"/>
      <c r="D267" s="1016"/>
      <c r="E267" s="1007"/>
      <c r="F267" s="537">
        <v>2.399</v>
      </c>
      <c r="G267" s="537">
        <v>2.3519999999999999</v>
      </c>
      <c r="H267" s="856"/>
      <c r="I267" s="537"/>
      <c r="J267" s="911"/>
      <c r="K267" s="1507"/>
      <c r="L267" s="616"/>
      <c r="M267" s="616"/>
      <c r="N267" s="912" t="s">
        <v>6</v>
      </c>
      <c r="O267" s="912"/>
      <c r="P267" s="885"/>
    </row>
    <row r="268" spans="1:16" ht="20.25" hidden="1" customHeight="1">
      <c r="A268" s="613"/>
      <c r="B268" s="1000" t="s">
        <v>1577</v>
      </c>
      <c r="C268" s="878"/>
      <c r="D268" s="1016"/>
      <c r="E268" s="1007"/>
      <c r="F268" s="537">
        <v>2.8740000000000001</v>
      </c>
      <c r="G268" s="537">
        <v>2.8740000000000001</v>
      </c>
      <c r="H268" s="856"/>
      <c r="I268" s="537"/>
      <c r="J268" s="911"/>
      <c r="K268" s="1507"/>
      <c r="L268" s="616"/>
      <c r="M268" s="616"/>
      <c r="N268" s="912" t="s">
        <v>1606</v>
      </c>
      <c r="O268" s="912"/>
      <c r="P268" s="885"/>
    </row>
    <row r="269" spans="1:16" ht="20.25" hidden="1" customHeight="1">
      <c r="A269" s="613"/>
      <c r="B269" s="1000" t="s">
        <v>1668</v>
      </c>
      <c r="C269" s="878"/>
      <c r="D269" s="1016"/>
      <c r="E269" s="1007"/>
      <c r="F269" s="537">
        <v>0.54100000000000004</v>
      </c>
      <c r="G269" s="537">
        <v>0.54100000000000004</v>
      </c>
      <c r="H269" s="856"/>
      <c r="I269" s="537"/>
      <c r="J269" s="911"/>
      <c r="K269" s="1507"/>
      <c r="L269" s="616"/>
      <c r="M269" s="616"/>
      <c r="N269" s="912" t="s">
        <v>11</v>
      </c>
      <c r="O269" s="912"/>
      <c r="P269" s="885"/>
    </row>
    <row r="270" spans="1:16" ht="20.25" hidden="1" customHeight="1">
      <c r="A270" s="613"/>
      <c r="B270" s="1000" t="s">
        <v>715</v>
      </c>
      <c r="C270" s="878"/>
      <c r="D270" s="1016"/>
      <c r="E270" s="1007"/>
      <c r="F270" s="537">
        <v>16.215</v>
      </c>
      <c r="G270" s="537">
        <v>16.215</v>
      </c>
      <c r="H270" s="856"/>
      <c r="I270" s="537"/>
      <c r="J270" s="911"/>
      <c r="K270" s="1507"/>
      <c r="L270" s="616"/>
      <c r="M270" s="616"/>
      <c r="N270" s="912"/>
      <c r="O270" s="912"/>
      <c r="P270" s="885"/>
    </row>
    <row r="271" spans="1:16" ht="20.25" hidden="1" customHeight="1">
      <c r="A271" s="613"/>
      <c r="B271" s="1000" t="s">
        <v>2886</v>
      </c>
      <c r="C271" s="878"/>
      <c r="D271" s="1016"/>
      <c r="E271" s="1007"/>
      <c r="F271" s="537">
        <v>2.4369999999999998</v>
      </c>
      <c r="G271" s="537">
        <v>2.4369999999999998</v>
      </c>
      <c r="H271" s="856"/>
      <c r="I271" s="537"/>
      <c r="J271" s="911"/>
      <c r="K271" s="1507" t="s">
        <v>3538</v>
      </c>
      <c r="L271" s="616"/>
      <c r="M271" s="616" t="s">
        <v>3334</v>
      </c>
      <c r="N271" s="912" t="s">
        <v>1532</v>
      </c>
      <c r="O271" s="912"/>
      <c r="P271" s="885"/>
    </row>
    <row r="272" spans="1:16" ht="20.25" hidden="1" customHeight="1">
      <c r="A272" s="613"/>
      <c r="B272" s="1000" t="s">
        <v>2871</v>
      </c>
      <c r="C272" s="878"/>
      <c r="D272" s="1016"/>
      <c r="E272" s="1007"/>
      <c r="F272" s="537">
        <v>0.53300000000000003</v>
      </c>
      <c r="G272" s="537">
        <v>0.53300000000000003</v>
      </c>
      <c r="H272" s="856"/>
      <c r="I272" s="537"/>
      <c r="J272" s="911"/>
      <c r="K272" s="1507"/>
      <c r="L272" s="616"/>
      <c r="M272" s="616"/>
      <c r="N272" s="912" t="s">
        <v>1562</v>
      </c>
      <c r="O272" s="912"/>
      <c r="P272" s="885"/>
    </row>
    <row r="273" spans="1:16" ht="20.25" hidden="1" customHeight="1">
      <c r="A273" s="613"/>
      <c r="B273" s="1000" t="s">
        <v>1583</v>
      </c>
      <c r="C273" s="878"/>
      <c r="D273" s="1016"/>
      <c r="E273" s="1007"/>
      <c r="F273" s="537">
        <v>1.6619999999999999</v>
      </c>
      <c r="G273" s="537">
        <v>1.6619999999999999</v>
      </c>
      <c r="H273" s="856"/>
      <c r="I273" s="537"/>
      <c r="J273" s="911"/>
      <c r="K273" s="1507"/>
      <c r="L273" s="616"/>
      <c r="M273" s="616"/>
      <c r="N273" s="912" t="s">
        <v>1532</v>
      </c>
      <c r="O273" s="912"/>
      <c r="P273" s="885"/>
    </row>
    <row r="274" spans="1:16" ht="20.25" hidden="1" customHeight="1">
      <c r="A274" s="613"/>
      <c r="B274" s="1000" t="s">
        <v>1580</v>
      </c>
      <c r="C274" s="878"/>
      <c r="D274" s="1016"/>
      <c r="E274" s="1007"/>
      <c r="F274" s="537">
        <v>2.3519999999999999</v>
      </c>
      <c r="G274" s="537">
        <v>2.3519999999999999</v>
      </c>
      <c r="H274" s="856"/>
      <c r="I274" s="537"/>
      <c r="J274" s="911"/>
      <c r="K274" s="1507"/>
      <c r="L274" s="616"/>
      <c r="M274" s="616"/>
      <c r="N274" s="912" t="s">
        <v>449</v>
      </c>
      <c r="O274" s="912"/>
      <c r="P274" s="885"/>
    </row>
    <row r="275" spans="1:16" ht="20.25" hidden="1" customHeight="1">
      <c r="A275" s="1017"/>
      <c r="B275" s="1018" t="s">
        <v>3298</v>
      </c>
      <c r="C275" s="1019"/>
      <c r="D275" s="1020"/>
      <c r="E275" s="1002"/>
      <c r="F275" s="538">
        <v>0.499</v>
      </c>
      <c r="G275" s="538">
        <v>0.499</v>
      </c>
      <c r="H275" s="1021"/>
      <c r="I275" s="538"/>
      <c r="J275" s="911"/>
      <c r="K275" s="1507"/>
      <c r="L275" s="616"/>
      <c r="M275" s="616"/>
      <c r="N275" s="912" t="s">
        <v>3539</v>
      </c>
      <c r="O275" s="912"/>
      <c r="P275" s="885"/>
    </row>
    <row r="276" spans="1:16" ht="20.25" hidden="1" customHeight="1">
      <c r="A276" s="1017"/>
      <c r="B276" s="1022" t="s">
        <v>3568</v>
      </c>
      <c r="C276" s="1023"/>
      <c r="D276" s="1024"/>
      <c r="E276" s="1025"/>
      <c r="F276" s="536"/>
      <c r="G276" s="536"/>
      <c r="H276" s="1026"/>
      <c r="I276" s="536"/>
      <c r="J276" s="916"/>
      <c r="K276" s="1508" t="s">
        <v>3540</v>
      </c>
      <c r="L276" s="616"/>
      <c r="M276" s="616"/>
      <c r="N276" s="912" t="s">
        <v>6</v>
      </c>
      <c r="O276" s="912"/>
      <c r="P276" s="885"/>
    </row>
    <row r="277" spans="1:16" ht="20.25" hidden="1" customHeight="1">
      <c r="A277" s="1017"/>
      <c r="B277" s="1022" t="s">
        <v>3569</v>
      </c>
      <c r="C277" s="1023"/>
      <c r="D277" s="1024"/>
      <c r="E277" s="1025"/>
      <c r="F277" s="536"/>
      <c r="G277" s="536"/>
      <c r="H277" s="1026"/>
      <c r="I277" s="536"/>
      <c r="J277" s="916"/>
      <c r="K277" s="1508" t="s">
        <v>3541</v>
      </c>
      <c r="L277" s="616"/>
      <c r="M277" s="616"/>
      <c r="N277" s="912" t="s">
        <v>1599</v>
      </c>
      <c r="O277" s="912"/>
      <c r="P277" s="885"/>
    </row>
    <row r="278" spans="1:16" ht="20.25" hidden="1" customHeight="1">
      <c r="A278" s="1017"/>
      <c r="B278" s="1022" t="s">
        <v>3570</v>
      </c>
      <c r="C278" s="1023"/>
      <c r="D278" s="1024"/>
      <c r="E278" s="1025"/>
      <c r="F278" s="536"/>
      <c r="G278" s="536"/>
      <c r="H278" s="1026"/>
      <c r="I278" s="536"/>
      <c r="J278" s="916"/>
      <c r="K278" s="1508">
        <v>2032</v>
      </c>
      <c r="L278" s="616"/>
      <c r="M278" s="616"/>
      <c r="N278" s="912" t="s">
        <v>209</v>
      </c>
      <c r="O278" s="912"/>
      <c r="P278" s="885"/>
    </row>
    <row r="279" spans="1:16" ht="20.25" hidden="1" customHeight="1">
      <c r="A279" s="1017"/>
      <c r="B279" s="1022" t="s">
        <v>3571</v>
      </c>
      <c r="C279" s="1023"/>
      <c r="D279" s="1024"/>
      <c r="E279" s="1025"/>
      <c r="F279" s="536"/>
      <c r="G279" s="536"/>
      <c r="H279" s="1026"/>
      <c r="I279" s="536"/>
      <c r="J279" s="916"/>
      <c r="K279" s="1508" t="s">
        <v>3542</v>
      </c>
      <c r="L279" s="616"/>
      <c r="M279" s="616"/>
      <c r="N279" s="912" t="s">
        <v>1776</v>
      </c>
      <c r="O279" s="912"/>
      <c r="P279" s="885"/>
    </row>
    <row r="280" spans="1:16" ht="20.25" hidden="1" customHeight="1">
      <c r="A280" s="1017"/>
      <c r="B280" s="1022" t="s">
        <v>3572</v>
      </c>
      <c r="C280" s="1023"/>
      <c r="D280" s="1024"/>
      <c r="E280" s="1025"/>
      <c r="F280" s="536"/>
      <c r="G280" s="536"/>
      <c r="H280" s="1026"/>
      <c r="I280" s="536"/>
      <c r="J280" s="916"/>
      <c r="K280" s="1508">
        <v>1994</v>
      </c>
      <c r="L280" s="616"/>
      <c r="M280" s="616"/>
      <c r="N280" s="912" t="s">
        <v>1533</v>
      </c>
      <c r="O280" s="912"/>
      <c r="P280" s="885"/>
    </row>
    <row r="281" spans="1:16" ht="20.25" hidden="1" customHeight="1">
      <c r="A281" s="1017"/>
      <c r="B281" s="1022" t="s">
        <v>3573</v>
      </c>
      <c r="C281" s="1023"/>
      <c r="D281" s="1024"/>
      <c r="E281" s="1025"/>
      <c r="F281" s="536"/>
      <c r="G281" s="536"/>
      <c r="H281" s="1026"/>
      <c r="I281" s="536"/>
      <c r="J281" s="916"/>
      <c r="K281" s="1508">
        <v>1819</v>
      </c>
      <c r="L281" s="616"/>
      <c r="M281" s="616"/>
      <c r="N281" s="912" t="s">
        <v>1562</v>
      </c>
      <c r="O281" s="912"/>
      <c r="P281" s="885"/>
    </row>
    <row r="282" spans="1:16" ht="20.25" hidden="1" customHeight="1">
      <c r="A282" s="1017"/>
      <c r="B282" s="1018"/>
      <c r="C282" s="1019"/>
      <c r="D282" s="1020"/>
      <c r="E282" s="1002"/>
      <c r="F282" s="538"/>
      <c r="G282" s="538"/>
      <c r="H282" s="1021"/>
      <c r="I282" s="538"/>
      <c r="J282" s="911"/>
      <c r="K282" s="1507"/>
      <c r="L282" s="616"/>
      <c r="M282" s="616"/>
      <c r="N282" s="912"/>
      <c r="O282" s="912"/>
      <c r="P282" s="885"/>
    </row>
    <row r="283" spans="1:16" ht="72" customHeight="1">
      <c r="A283" s="1845"/>
      <c r="B283" s="1845"/>
      <c r="C283" s="1845"/>
      <c r="D283" s="1845"/>
      <c r="E283" s="1027" t="s">
        <v>2857</v>
      </c>
      <c r="F283" s="1027" t="s">
        <v>2856</v>
      </c>
      <c r="G283" s="1027" t="s">
        <v>2858</v>
      </c>
      <c r="H283" s="1028" t="s">
        <v>2887</v>
      </c>
      <c r="I283" s="1027" t="str">
        <f>I13</f>
        <v>2024  m. asignavimai ir kitos lėšos, tūkst. Eur</v>
      </c>
      <c r="J283" s="1029"/>
      <c r="K283" s="1502"/>
      <c r="L283" s="373"/>
      <c r="M283" s="373"/>
      <c r="N283" s="373"/>
      <c r="O283" s="373"/>
      <c r="P283" s="967"/>
    </row>
    <row r="284" spans="1:16" ht="31.2" customHeight="1">
      <c r="A284" s="1691" t="s">
        <v>986</v>
      </c>
      <c r="B284" s="1691"/>
      <c r="C284" s="1691"/>
      <c r="D284" s="1691"/>
      <c r="E284" s="1030">
        <f>SUM(E285,E286,E290,E291,E292,E293,)</f>
        <v>15544.962999999998</v>
      </c>
      <c r="F284" s="1031">
        <f>SUM(F285,F286,F290,F291,F292,F293,)</f>
        <v>16447.66</v>
      </c>
      <c r="G284" s="1031">
        <f t="shared" ref="G284" si="47">SUM(G285,G286,G290,G291,G292,G293,)</f>
        <v>15593.043000000001</v>
      </c>
      <c r="H284" s="1032">
        <f>G284/F284</f>
        <v>0.94804020754320073</v>
      </c>
      <c r="I284" s="729" t="e">
        <f>SUM(I285,I286,I290,I291,I292,I293,)</f>
        <v>#REF!</v>
      </c>
      <c r="J284" s="742"/>
      <c r="K284" s="1503"/>
      <c r="L284" s="809"/>
      <c r="M284" s="373"/>
      <c r="N284" s="373"/>
      <c r="O284" s="373"/>
      <c r="P284" s="967"/>
    </row>
    <row r="285" spans="1:16" ht="26.5" customHeight="1">
      <c r="A285" s="1692" t="s">
        <v>2867</v>
      </c>
      <c r="B285" s="1692"/>
      <c r="C285" s="1692"/>
      <c r="D285" s="1692"/>
      <c r="E285" s="1033">
        <f>SUM(E16,E79,E159,E165,E168,E177,E201,E210,E213,E215,E217,E221,E229,E235,E245,E251,E259,)</f>
        <v>6653.5689999999995</v>
      </c>
      <c r="F285" s="701">
        <f>SUM(F16,F79,F159,F165,F168,F177,F201,F215,F217,F221,F229,F231,F242,F251,F259)</f>
        <v>6695.8279999999995</v>
      </c>
      <c r="G285" s="1034">
        <f>SUM(G16,G79,G159,G165,G168,G177,G201,G215,G217,G221,G229,G231,G242,G251,G259)</f>
        <v>6224.9860000000017</v>
      </c>
      <c r="H285" s="1032">
        <f t="shared" ref="H285:H296" si="48">G285/F285</f>
        <v>0.92968128810955153</v>
      </c>
      <c r="I285" s="701" t="e">
        <f>SUM(I16,I79,I159,I165,I168,I201,I215,I217,I259,)</f>
        <v>#REF!</v>
      </c>
      <c r="J285" s="649"/>
      <c r="K285" s="1502"/>
      <c r="L285" s="373"/>
      <c r="M285" s="373"/>
      <c r="N285" s="373"/>
      <c r="O285" s="373"/>
      <c r="P285" s="967"/>
    </row>
    <row r="286" spans="1:16" ht="26.5" customHeight="1">
      <c r="A286" s="1692" t="s">
        <v>988</v>
      </c>
      <c r="B286" s="1692"/>
      <c r="C286" s="1692"/>
      <c r="D286" s="1692"/>
      <c r="E286" s="1033">
        <f>SUM(E19,E77,E169,E202)</f>
        <v>8050.119999999999</v>
      </c>
      <c r="F286" s="701">
        <f>SUM(F19,F77,F169,F202,F80)</f>
        <v>8221.49</v>
      </c>
      <c r="G286" s="701">
        <f>SUM(G19,G77,G169,G202,G80)</f>
        <v>8218.1779999999999</v>
      </c>
      <c r="H286" s="1032">
        <f t="shared" si="48"/>
        <v>0.99959715331405863</v>
      </c>
      <c r="I286" s="701">
        <f>I287+I288+I289</f>
        <v>9001.5429999999997</v>
      </c>
      <c r="J286" s="649"/>
      <c r="K286" s="1502"/>
      <c r="L286" s="373"/>
      <c r="M286" s="373"/>
      <c r="N286" s="373"/>
      <c r="O286" s="373"/>
      <c r="P286" s="967"/>
    </row>
    <row r="287" spans="1:16" ht="23.5" hidden="1" customHeight="1">
      <c r="A287" s="657"/>
      <c r="B287" s="1692" t="s">
        <v>2597</v>
      </c>
      <c r="C287" s="1692"/>
      <c r="D287" s="1692"/>
      <c r="E287" s="1033"/>
      <c r="F287" s="1035">
        <f>SUM(F77,F169,)</f>
        <v>8006.72</v>
      </c>
      <c r="G287" s="1035">
        <f>SUM(G77,G169,)</f>
        <v>8006.72</v>
      </c>
      <c r="H287" s="1032">
        <f t="shared" si="48"/>
        <v>1</v>
      </c>
      <c r="I287" s="464">
        <f>SUM(I77,I169)</f>
        <v>8800.5399999999991</v>
      </c>
      <c r="J287" s="1036"/>
      <c r="K287" s="1502"/>
      <c r="L287" s="809"/>
      <c r="M287" s="373"/>
      <c r="N287" s="373"/>
      <c r="O287" s="373"/>
      <c r="P287" s="967"/>
    </row>
    <row r="288" spans="1:16" ht="20.149999999999999" hidden="1" customHeight="1">
      <c r="A288" s="657"/>
      <c r="B288" s="1692" t="s">
        <v>3275</v>
      </c>
      <c r="C288" s="1692"/>
      <c r="D288" s="1692"/>
      <c r="E288" s="1033"/>
      <c r="F288" s="1035">
        <f>F19</f>
        <v>35</v>
      </c>
      <c r="G288" s="1035">
        <f>G19</f>
        <v>35</v>
      </c>
      <c r="H288" s="1032">
        <f t="shared" si="48"/>
        <v>1</v>
      </c>
      <c r="I288" s="464">
        <f>I134</f>
        <v>39</v>
      </c>
      <c r="J288" s="1036"/>
      <c r="K288" s="1502"/>
      <c r="L288" s="373"/>
      <c r="M288" s="373"/>
      <c r="N288" s="373"/>
      <c r="O288" s="373"/>
      <c r="P288" s="967"/>
    </row>
    <row r="289" spans="1:16" ht="25.95" hidden="1" customHeight="1">
      <c r="A289" s="657"/>
      <c r="B289" s="1692" t="s">
        <v>3276</v>
      </c>
      <c r="C289" s="1692"/>
      <c r="D289" s="1692"/>
      <c r="E289" s="1033"/>
      <c r="F289" s="1035">
        <f>SUM(F202,F80,)</f>
        <v>179.76999999999998</v>
      </c>
      <c r="G289" s="1035">
        <f>SUM(G202,G80,)</f>
        <v>176.45799999999997</v>
      </c>
      <c r="H289" s="1032"/>
      <c r="I289" s="464">
        <f>SUM(I110,I202,I261)</f>
        <v>162.00300000000001</v>
      </c>
      <c r="J289" s="649"/>
      <c r="K289" s="1503"/>
      <c r="L289" s="373"/>
      <c r="M289" s="373"/>
      <c r="N289" s="373"/>
      <c r="O289" s="373"/>
      <c r="P289" s="967"/>
    </row>
    <row r="290" spans="1:16" ht="25.95" customHeight="1">
      <c r="A290" s="1692" t="s">
        <v>989</v>
      </c>
      <c r="B290" s="1692"/>
      <c r="C290" s="1692"/>
      <c r="D290" s="1692"/>
      <c r="E290" s="1033">
        <f>SUM(E17,E78,)</f>
        <v>774.452</v>
      </c>
      <c r="F290" s="1034">
        <f>SUM(F17,F78,)</f>
        <v>839.41699999999992</v>
      </c>
      <c r="G290" s="1034">
        <f>SUM(G17,G78,)</f>
        <v>811.23599999999999</v>
      </c>
      <c r="H290" s="1032">
        <f t="shared" si="48"/>
        <v>0.96642788983306283</v>
      </c>
      <c r="I290" s="701">
        <f>SUM(I17,I78,)</f>
        <v>810.80000000000018</v>
      </c>
      <c r="J290" s="649"/>
      <c r="K290" s="1502"/>
      <c r="L290" s="373"/>
      <c r="M290" s="373"/>
      <c r="N290" s="373"/>
      <c r="O290" s="373"/>
      <c r="P290" s="967"/>
    </row>
    <row r="291" spans="1:16" ht="25.95" customHeight="1">
      <c r="A291" s="1692" t="s">
        <v>2695</v>
      </c>
      <c r="B291" s="1692"/>
      <c r="C291" s="1692"/>
      <c r="D291" s="1692"/>
      <c r="E291" s="1033">
        <f>SUM(E178,E220,)</f>
        <v>66.822000000000003</v>
      </c>
      <c r="F291" s="1034">
        <f>SUM(F178,F220,F179,)</f>
        <v>690.92500000000007</v>
      </c>
      <c r="G291" s="1034">
        <f>SUM(G178,G220,G179,)</f>
        <v>338.64300000000003</v>
      </c>
      <c r="H291" s="1032">
        <f t="shared" si="48"/>
        <v>0.4901298983247096</v>
      </c>
      <c r="I291" s="701" t="e">
        <f>SUM(I178,#REF!,I179,I220,I222,I232,I243,I250,)</f>
        <v>#REF!</v>
      </c>
      <c r="J291" s="649"/>
      <c r="K291" s="1502"/>
      <c r="L291" s="373"/>
      <c r="M291" s="373"/>
      <c r="N291" s="373"/>
      <c r="O291" s="373"/>
      <c r="P291" s="967"/>
    </row>
    <row r="292" spans="1:16" ht="20.149999999999999" hidden="1" customHeight="1">
      <c r="A292" s="657"/>
      <c r="B292" s="1692" t="s">
        <v>990</v>
      </c>
      <c r="C292" s="1692"/>
      <c r="D292" s="1692"/>
      <c r="E292" s="1033">
        <v>0</v>
      </c>
      <c r="F292" s="1034">
        <v>0</v>
      </c>
      <c r="G292" s="1034">
        <v>0</v>
      </c>
      <c r="H292" s="1032" t="e">
        <f t="shared" si="48"/>
        <v>#DIV/0!</v>
      </c>
      <c r="I292" s="701">
        <v>0</v>
      </c>
      <c r="J292" s="649"/>
      <c r="K292" s="1502"/>
      <c r="L292" s="373"/>
      <c r="M292" s="373"/>
      <c r="N292" s="373"/>
      <c r="O292" s="373"/>
      <c r="P292" s="967"/>
    </row>
    <row r="293" spans="1:16" ht="20.149999999999999" hidden="1" customHeight="1">
      <c r="A293" s="657"/>
      <c r="B293" s="1692" t="s">
        <v>991</v>
      </c>
      <c r="C293" s="1692"/>
      <c r="D293" s="1692"/>
      <c r="E293" s="1033">
        <v>0</v>
      </c>
      <c r="F293" s="1034">
        <v>0</v>
      </c>
      <c r="G293" s="1034">
        <v>0</v>
      </c>
      <c r="H293" s="1032" t="e">
        <f t="shared" si="48"/>
        <v>#DIV/0!</v>
      </c>
      <c r="I293" s="701">
        <f>SUM(I28,I37,I46,I55,I60,I66,I177,I221,I229,I231,I242,I251,)</f>
        <v>974.15699999999993</v>
      </c>
      <c r="J293" s="649"/>
      <c r="K293" s="1502"/>
      <c r="L293" s="373"/>
      <c r="M293" s="373"/>
      <c r="N293" s="373"/>
      <c r="O293" s="373"/>
      <c r="P293" s="967"/>
    </row>
    <row r="294" spans="1:16" ht="33.65" customHeight="1">
      <c r="A294" s="1691" t="s">
        <v>992</v>
      </c>
      <c r="B294" s="1691"/>
      <c r="C294" s="1691"/>
      <c r="D294" s="1691"/>
      <c r="E294" s="1037">
        <v>0</v>
      </c>
      <c r="F294" s="1038">
        <f>SUM(F20,F81,F180,)</f>
        <v>33.964999999999996</v>
      </c>
      <c r="G294" s="1038">
        <f>SUM(G20,G81,G180,)</f>
        <v>27.338000000000001</v>
      </c>
      <c r="H294" s="1032">
        <f>G294/F294</f>
        <v>0.8048873840718388</v>
      </c>
      <c r="I294" s="1039">
        <f>I20</f>
        <v>0.33300000000000002</v>
      </c>
      <c r="J294" s="649"/>
      <c r="K294" s="1502"/>
      <c r="L294" s="373"/>
      <c r="M294" s="373"/>
      <c r="N294" s="373"/>
      <c r="O294" s="373"/>
      <c r="P294" s="967"/>
    </row>
    <row r="295" spans="1:16" ht="37.200000000000003" customHeight="1">
      <c r="A295" s="1757" t="s">
        <v>1334</v>
      </c>
      <c r="B295" s="1757"/>
      <c r="C295" s="1757"/>
      <c r="D295" s="1757"/>
      <c r="E295" s="1040">
        <f>E284+E294</f>
        <v>15544.962999999998</v>
      </c>
      <c r="F295" s="1040">
        <f>F284+F294</f>
        <v>16481.625</v>
      </c>
      <c r="G295" s="1040">
        <f t="shared" ref="G295" si="49">G284+G294</f>
        <v>15620.381000000001</v>
      </c>
      <c r="H295" s="1032">
        <f t="shared" si="48"/>
        <v>0.94774520109515903</v>
      </c>
      <c r="I295" s="703" t="e">
        <f>I284+I294</f>
        <v>#REF!</v>
      </c>
      <c r="J295" s="649"/>
      <c r="K295" s="1502"/>
      <c r="L295" s="373"/>
      <c r="M295" s="373"/>
      <c r="N295" s="373"/>
      <c r="O295" s="373"/>
      <c r="P295" s="967"/>
    </row>
    <row r="296" spans="1:16" ht="27.75" hidden="1" customHeight="1">
      <c r="A296" s="425"/>
      <c r="B296" s="1725" t="s">
        <v>1948</v>
      </c>
      <c r="C296" s="1725"/>
      <c r="D296" s="1725"/>
      <c r="E296" s="548">
        <f>SUM(E252,E244,E233)</f>
        <v>49.277999999999999</v>
      </c>
      <c r="F296" s="548">
        <f t="shared" ref="F296:G296" si="50">SUM(F252,F244,F233)</f>
        <v>212.27100000000002</v>
      </c>
      <c r="G296" s="548">
        <f t="shared" si="50"/>
        <v>0</v>
      </c>
      <c r="H296" s="549">
        <f t="shared" si="48"/>
        <v>0</v>
      </c>
      <c r="I296" s="440">
        <f>SUM(I252,I244,I233)</f>
        <v>2231.2910000000002</v>
      </c>
      <c r="J296" s="425"/>
      <c r="K296" s="1502"/>
      <c r="L296" s="434"/>
      <c r="M296" s="434"/>
      <c r="N296" s="467"/>
      <c r="O296" s="467"/>
    </row>
    <row r="297" spans="1:16" ht="36.75" hidden="1" customHeight="1">
      <c r="A297" s="425"/>
      <c r="B297" s="1690" t="s">
        <v>993</v>
      </c>
      <c r="C297" s="1690"/>
      <c r="D297" s="1690"/>
      <c r="E297" s="548">
        <v>0</v>
      </c>
      <c r="F297" s="548">
        <v>0</v>
      </c>
      <c r="G297" s="548">
        <v>0</v>
      </c>
      <c r="H297" s="549"/>
      <c r="I297" s="441" t="e">
        <f>I295/E295-1</f>
        <v>#REF!</v>
      </c>
      <c r="J297" s="425"/>
      <c r="K297" s="1502"/>
      <c r="L297" s="434"/>
      <c r="M297" s="434"/>
      <c r="N297" s="467"/>
      <c r="O297" s="467"/>
    </row>
    <row r="298" spans="1:16">
      <c r="E298" s="400"/>
      <c r="F298" s="400"/>
      <c r="G298" s="400"/>
      <c r="H298" s="400"/>
    </row>
    <row r="299" spans="1:16">
      <c r="E299" s="400"/>
      <c r="F299" s="400"/>
      <c r="G299" s="400"/>
      <c r="H299" s="400"/>
    </row>
    <row r="300" spans="1:16" ht="29.25" hidden="1" customHeight="1">
      <c r="B300" s="1844"/>
      <c r="C300" s="1844"/>
      <c r="D300" s="1844"/>
      <c r="E300" s="400"/>
      <c r="F300" s="400"/>
      <c r="G300" s="400"/>
      <c r="H300" s="400"/>
      <c r="I300" s="402">
        <v>9030.4770000000008</v>
      </c>
      <c r="K300" s="1512"/>
      <c r="L300" s="1844"/>
      <c r="M300" s="1844"/>
    </row>
    <row r="301" spans="1:16" hidden="1">
      <c r="E301" s="400"/>
      <c r="F301" s="400"/>
      <c r="G301" s="400"/>
      <c r="H301" s="400"/>
      <c r="I301" s="490" t="e">
        <f>I300-I285-I290-I293</f>
        <v>#REF!</v>
      </c>
    </row>
    <row r="302" spans="1:16" hidden="1">
      <c r="E302" s="400"/>
      <c r="F302" s="400"/>
      <c r="G302" s="400"/>
      <c r="H302" s="400"/>
    </row>
    <row r="303" spans="1:16" hidden="1">
      <c r="E303" s="400"/>
      <c r="F303" s="400"/>
      <c r="G303" s="400"/>
      <c r="H303" s="400"/>
    </row>
    <row r="304" spans="1:16" hidden="1">
      <c r="E304" s="400"/>
      <c r="F304" s="400"/>
      <c r="G304" s="400"/>
      <c r="H304" s="400"/>
      <c r="I304" s="400">
        <v>9026.3469999999998</v>
      </c>
    </row>
    <row r="305" spans="5:11" hidden="1">
      <c r="E305" s="400"/>
      <c r="F305" s="400"/>
      <c r="G305" s="400"/>
      <c r="H305" s="400"/>
    </row>
    <row r="306" spans="5:11" hidden="1">
      <c r="E306" s="400"/>
      <c r="F306" s="400"/>
      <c r="G306" s="400"/>
      <c r="H306" s="400"/>
      <c r="I306" s="415" t="e">
        <f>I304-I285-I290-I293</f>
        <v>#REF!</v>
      </c>
    </row>
    <row r="307" spans="5:11" hidden="1">
      <c r="E307" s="400"/>
      <c r="F307" s="400"/>
      <c r="G307" s="400"/>
      <c r="H307" s="400"/>
    </row>
    <row r="308" spans="5:11">
      <c r="E308" s="400"/>
      <c r="F308" s="400"/>
      <c r="G308" s="400"/>
      <c r="H308" s="400"/>
    </row>
    <row r="309" spans="5:11">
      <c r="E309" s="400"/>
      <c r="F309" s="400"/>
      <c r="G309" s="400"/>
      <c r="H309" s="400"/>
    </row>
    <row r="310" spans="5:11" ht="36" hidden="1" customHeight="1">
      <c r="E310" s="400"/>
      <c r="F310" s="547">
        <v>7535.2449999999999</v>
      </c>
      <c r="G310" s="547">
        <v>7036.2240000000002</v>
      </c>
      <c r="H310" s="400"/>
    </row>
    <row r="311" spans="5:11" ht="19.5" hidden="1" customHeight="1">
      <c r="E311" s="400"/>
      <c r="F311" s="415">
        <f>F310-F285-F290</f>
        <v>0</v>
      </c>
      <c r="G311" s="415">
        <f>G310-G285-G290</f>
        <v>1.9999999984747774E-3</v>
      </c>
      <c r="H311" s="400"/>
    </row>
    <row r="312" spans="5:11" ht="36" hidden="1" customHeight="1">
      <c r="E312" s="400"/>
      <c r="F312" s="415"/>
      <c r="G312" s="415"/>
      <c r="H312" s="400"/>
      <c r="J312" s="415"/>
      <c r="K312" s="1513"/>
    </row>
    <row r="313" spans="5:11" ht="21" customHeight="1">
      <c r="E313" s="400"/>
      <c r="F313" s="415"/>
      <c r="G313" s="400"/>
      <c r="H313" s="400"/>
      <c r="J313" s="415"/>
      <c r="K313" s="1513"/>
    </row>
    <row r="314" spans="5:11">
      <c r="E314" s="400"/>
      <c r="F314" s="400"/>
      <c r="G314" s="400"/>
      <c r="H314" s="400"/>
    </row>
    <row r="315" spans="5:11">
      <c r="E315" s="400"/>
      <c r="F315" s="415"/>
      <c r="G315" s="415"/>
      <c r="H315" s="400"/>
    </row>
    <row r="316" spans="5:11">
      <c r="E316" s="400"/>
      <c r="F316" s="400"/>
      <c r="G316" s="400"/>
      <c r="H316" s="400"/>
    </row>
    <row r="317" spans="5:11">
      <c r="E317" s="400"/>
      <c r="F317" s="400"/>
      <c r="G317" s="400"/>
      <c r="H317" s="400"/>
    </row>
    <row r="318" spans="5:11">
      <c r="E318" s="400"/>
      <c r="F318" s="400"/>
      <c r="G318" s="400"/>
      <c r="H318" s="400"/>
    </row>
    <row r="319" spans="5:11">
      <c r="E319" s="400"/>
      <c r="F319" s="400"/>
      <c r="G319" s="400"/>
      <c r="H319" s="400"/>
    </row>
    <row r="320" spans="5:11">
      <c r="E320" s="400"/>
      <c r="F320" s="400"/>
      <c r="G320" s="400"/>
      <c r="H320" s="400"/>
    </row>
    <row r="321" spans="5:8">
      <c r="E321" s="400"/>
      <c r="F321" s="400"/>
      <c r="G321" s="400"/>
      <c r="H321" s="400"/>
    </row>
    <row r="322" spans="5:8">
      <c r="E322" s="400"/>
      <c r="F322" s="400"/>
      <c r="G322" s="400"/>
      <c r="H322" s="400"/>
    </row>
    <row r="323" spans="5:8">
      <c r="E323" s="400"/>
      <c r="F323" s="400"/>
      <c r="G323" s="400"/>
      <c r="H323" s="400"/>
    </row>
    <row r="324" spans="5:8">
      <c r="E324" s="400"/>
      <c r="F324" s="400"/>
      <c r="G324" s="400"/>
      <c r="H324" s="400"/>
    </row>
    <row r="325" spans="5:8">
      <c r="E325" s="400"/>
      <c r="F325" s="400"/>
      <c r="G325" s="400"/>
      <c r="H325" s="400"/>
    </row>
    <row r="326" spans="5:8">
      <c r="E326" s="400"/>
      <c r="F326" s="400"/>
      <c r="G326" s="400"/>
      <c r="H326" s="400"/>
    </row>
    <row r="327" spans="5:8">
      <c r="E327" s="400"/>
      <c r="F327" s="400"/>
      <c r="G327" s="400"/>
      <c r="H327" s="400"/>
    </row>
    <row r="328" spans="5:8">
      <c r="E328" s="400"/>
      <c r="F328" s="400"/>
      <c r="G328" s="400"/>
      <c r="H328" s="400"/>
    </row>
    <row r="329" spans="5:8">
      <c r="E329" s="400"/>
      <c r="F329" s="400"/>
      <c r="G329" s="400"/>
      <c r="H329" s="400"/>
    </row>
    <row r="330" spans="5:8">
      <c r="E330" s="400"/>
      <c r="F330" s="400"/>
      <c r="G330" s="400"/>
      <c r="H330" s="400"/>
    </row>
    <row r="331" spans="5:8">
      <c r="E331" s="400"/>
      <c r="F331" s="400"/>
      <c r="G331" s="400"/>
      <c r="H331" s="400"/>
    </row>
    <row r="332" spans="5:8">
      <c r="E332" s="400"/>
      <c r="F332" s="400"/>
      <c r="G332" s="400"/>
      <c r="H332" s="400"/>
    </row>
    <row r="333" spans="5:8">
      <c r="E333" s="400"/>
      <c r="F333" s="400"/>
      <c r="G333" s="400"/>
      <c r="H333" s="400"/>
    </row>
    <row r="334" spans="5:8">
      <c r="E334" s="400"/>
      <c r="F334" s="400"/>
      <c r="G334" s="400"/>
      <c r="H334" s="400"/>
    </row>
    <row r="335" spans="5:8">
      <c r="E335" s="400"/>
      <c r="F335" s="400"/>
      <c r="G335" s="400"/>
      <c r="H335" s="400"/>
    </row>
    <row r="336" spans="5:8">
      <c r="E336" s="400"/>
      <c r="F336" s="400"/>
      <c r="G336" s="400"/>
      <c r="H336" s="400"/>
    </row>
    <row r="337" spans="5:8">
      <c r="E337" s="400"/>
      <c r="F337" s="400"/>
      <c r="G337" s="400"/>
      <c r="H337" s="400"/>
    </row>
    <row r="338" spans="5:8">
      <c r="E338" s="400"/>
      <c r="F338" s="400"/>
      <c r="G338" s="400"/>
      <c r="H338" s="400"/>
    </row>
    <row r="339" spans="5:8">
      <c r="E339" s="400"/>
      <c r="F339" s="400"/>
      <c r="G339" s="400"/>
      <c r="H339" s="400"/>
    </row>
    <row r="340" spans="5:8">
      <c r="E340" s="400"/>
      <c r="F340" s="400"/>
      <c r="G340" s="400"/>
      <c r="H340" s="400"/>
    </row>
    <row r="341" spans="5:8">
      <c r="E341" s="400"/>
      <c r="F341" s="400"/>
      <c r="G341" s="400"/>
      <c r="H341" s="400"/>
    </row>
    <row r="342" spans="5:8">
      <c r="E342" s="400"/>
      <c r="F342" s="400"/>
      <c r="G342" s="400"/>
      <c r="H342" s="400"/>
    </row>
    <row r="343" spans="5:8">
      <c r="E343" s="400"/>
      <c r="F343" s="400"/>
      <c r="G343" s="400"/>
      <c r="H343" s="400"/>
    </row>
    <row r="344" spans="5:8">
      <c r="E344" s="400"/>
      <c r="F344" s="400"/>
      <c r="G344" s="400"/>
      <c r="H344" s="400"/>
    </row>
    <row r="345" spans="5:8">
      <c r="E345" s="400"/>
      <c r="F345" s="400"/>
      <c r="G345" s="400"/>
      <c r="H345" s="400"/>
    </row>
    <row r="346" spans="5:8">
      <c r="E346" s="400"/>
      <c r="F346" s="400"/>
      <c r="G346" s="400"/>
      <c r="H346" s="400"/>
    </row>
    <row r="347" spans="5:8">
      <c r="E347" s="400"/>
      <c r="F347" s="400"/>
      <c r="G347" s="400"/>
      <c r="H347" s="400"/>
    </row>
    <row r="348" spans="5:8">
      <c r="E348" s="400"/>
      <c r="F348" s="400"/>
      <c r="G348" s="400"/>
      <c r="H348" s="400"/>
    </row>
    <row r="349" spans="5:8">
      <c r="E349" s="400"/>
      <c r="F349" s="400"/>
      <c r="G349" s="400"/>
      <c r="H349" s="400"/>
    </row>
    <row r="350" spans="5:8">
      <c r="E350" s="400"/>
      <c r="F350" s="400"/>
      <c r="G350" s="400"/>
      <c r="H350" s="400"/>
    </row>
    <row r="351" spans="5:8">
      <c r="E351" s="400"/>
      <c r="F351" s="400"/>
      <c r="G351" s="400"/>
      <c r="H351" s="400"/>
    </row>
    <row r="352" spans="5:8">
      <c r="E352" s="400"/>
      <c r="F352" s="400"/>
      <c r="G352" s="400"/>
      <c r="H352" s="400"/>
    </row>
    <row r="353" spans="5:8">
      <c r="E353" s="400"/>
      <c r="F353" s="400"/>
      <c r="G353" s="400"/>
      <c r="H353" s="400"/>
    </row>
    <row r="354" spans="5:8">
      <c r="E354" s="400"/>
      <c r="F354" s="400"/>
      <c r="G354" s="400"/>
      <c r="H354" s="400"/>
    </row>
    <row r="355" spans="5:8">
      <c r="E355" s="400"/>
      <c r="F355" s="400"/>
      <c r="G355" s="400"/>
      <c r="H355" s="400"/>
    </row>
    <row r="356" spans="5:8">
      <c r="E356" s="400"/>
      <c r="F356" s="400"/>
      <c r="G356" s="400"/>
      <c r="H356" s="400"/>
    </row>
    <row r="357" spans="5:8">
      <c r="E357" s="400"/>
      <c r="F357" s="400"/>
      <c r="G357" s="400"/>
      <c r="H357" s="400"/>
    </row>
    <row r="358" spans="5:8">
      <c r="E358" s="400"/>
      <c r="F358" s="400"/>
      <c r="G358" s="400"/>
      <c r="H358" s="400"/>
    </row>
    <row r="359" spans="5:8">
      <c r="E359" s="400"/>
      <c r="F359" s="400"/>
      <c r="G359" s="400"/>
      <c r="H359" s="400"/>
    </row>
    <row r="360" spans="5:8">
      <c r="E360" s="400"/>
      <c r="F360" s="400"/>
      <c r="G360" s="400"/>
      <c r="H360" s="400"/>
    </row>
    <row r="361" spans="5:8">
      <c r="E361" s="400"/>
      <c r="F361" s="400"/>
      <c r="G361" s="400"/>
      <c r="H361" s="400"/>
    </row>
    <row r="362" spans="5:8">
      <c r="E362" s="400"/>
      <c r="F362" s="400"/>
      <c r="G362" s="400"/>
      <c r="H362" s="400"/>
    </row>
    <row r="363" spans="5:8">
      <c r="E363" s="400"/>
      <c r="F363" s="400"/>
      <c r="G363" s="400"/>
      <c r="H363" s="400"/>
    </row>
    <row r="364" spans="5:8">
      <c r="E364" s="400"/>
      <c r="F364" s="400"/>
      <c r="G364" s="400"/>
      <c r="H364" s="400"/>
    </row>
    <row r="365" spans="5:8">
      <c r="E365" s="400"/>
      <c r="F365" s="400"/>
      <c r="G365" s="400"/>
      <c r="H365" s="400"/>
    </row>
    <row r="366" spans="5:8">
      <c r="E366" s="400"/>
      <c r="F366" s="400"/>
      <c r="G366" s="400"/>
      <c r="H366" s="400"/>
    </row>
    <row r="367" spans="5:8">
      <c r="E367" s="400"/>
      <c r="F367" s="400"/>
      <c r="G367" s="400"/>
      <c r="H367" s="400"/>
    </row>
    <row r="368" spans="5:8">
      <c r="E368" s="400"/>
      <c r="F368" s="400"/>
      <c r="G368" s="400"/>
      <c r="H368" s="400"/>
    </row>
    <row r="369" spans="5:8">
      <c r="E369" s="400"/>
      <c r="F369" s="400"/>
      <c r="G369" s="400"/>
      <c r="H369" s="400"/>
    </row>
    <row r="370" spans="5:8">
      <c r="E370" s="400"/>
      <c r="F370" s="400"/>
      <c r="G370" s="400"/>
      <c r="H370" s="400"/>
    </row>
    <row r="371" spans="5:8">
      <c r="E371" s="400"/>
      <c r="F371" s="400"/>
      <c r="G371" s="400"/>
      <c r="H371" s="400"/>
    </row>
    <row r="372" spans="5:8">
      <c r="E372" s="400"/>
      <c r="F372" s="400"/>
      <c r="G372" s="400"/>
      <c r="H372" s="400"/>
    </row>
    <row r="373" spans="5:8">
      <c r="E373" s="400"/>
      <c r="F373" s="400"/>
      <c r="G373" s="400"/>
      <c r="H373" s="400"/>
    </row>
    <row r="374" spans="5:8">
      <c r="E374" s="400"/>
      <c r="F374" s="400"/>
      <c r="G374" s="400"/>
      <c r="H374" s="400"/>
    </row>
    <row r="375" spans="5:8">
      <c r="E375" s="400"/>
      <c r="F375" s="400"/>
      <c r="G375" s="400"/>
      <c r="H375" s="400"/>
    </row>
    <row r="376" spans="5:8">
      <c r="E376" s="400"/>
      <c r="F376" s="400"/>
      <c r="G376" s="400"/>
      <c r="H376" s="400"/>
    </row>
    <row r="377" spans="5:8">
      <c r="E377" s="400"/>
      <c r="F377" s="400"/>
      <c r="G377" s="400"/>
      <c r="H377" s="400"/>
    </row>
    <row r="378" spans="5:8">
      <c r="E378" s="400"/>
      <c r="F378" s="400"/>
      <c r="G378" s="400"/>
      <c r="H378" s="400"/>
    </row>
    <row r="379" spans="5:8">
      <c r="E379" s="400"/>
      <c r="F379" s="400"/>
      <c r="G379" s="400"/>
      <c r="H379" s="400"/>
    </row>
    <row r="380" spans="5:8">
      <c r="E380" s="400"/>
      <c r="F380" s="400"/>
      <c r="G380" s="400"/>
      <c r="H380" s="400"/>
    </row>
    <row r="381" spans="5:8">
      <c r="E381" s="400"/>
      <c r="F381" s="400"/>
      <c r="G381" s="400"/>
      <c r="H381" s="400"/>
    </row>
    <row r="382" spans="5:8">
      <c r="E382" s="400"/>
      <c r="F382" s="400"/>
      <c r="G382" s="400"/>
      <c r="H382" s="400"/>
    </row>
    <row r="383" spans="5:8">
      <c r="E383" s="400"/>
      <c r="F383" s="400"/>
      <c r="G383" s="400"/>
      <c r="H383" s="400"/>
    </row>
    <row r="384" spans="5:8">
      <c r="E384" s="400"/>
      <c r="F384" s="400"/>
      <c r="G384" s="400"/>
      <c r="H384" s="400"/>
    </row>
    <row r="385" spans="5:8">
      <c r="E385" s="400"/>
      <c r="F385" s="400"/>
      <c r="G385" s="400"/>
      <c r="H385" s="400"/>
    </row>
    <row r="386" spans="5:8">
      <c r="E386" s="400"/>
      <c r="F386" s="400"/>
      <c r="G386" s="400"/>
      <c r="H386" s="400"/>
    </row>
    <row r="387" spans="5:8">
      <c r="E387" s="400"/>
      <c r="F387" s="400"/>
      <c r="G387" s="400"/>
      <c r="H387" s="400"/>
    </row>
    <row r="388" spans="5:8">
      <c r="E388" s="400"/>
      <c r="F388" s="400"/>
      <c r="G388" s="400"/>
      <c r="H388" s="400"/>
    </row>
    <row r="389" spans="5:8">
      <c r="E389" s="400"/>
      <c r="F389" s="400"/>
      <c r="G389" s="400"/>
      <c r="H389" s="400"/>
    </row>
    <row r="390" spans="5:8">
      <c r="E390" s="400"/>
      <c r="F390" s="400"/>
      <c r="G390" s="400"/>
      <c r="H390" s="400"/>
    </row>
    <row r="391" spans="5:8">
      <c r="E391" s="400"/>
      <c r="F391" s="400"/>
      <c r="G391" s="400"/>
      <c r="H391" s="400"/>
    </row>
    <row r="392" spans="5:8">
      <c r="E392" s="400"/>
      <c r="F392" s="400"/>
      <c r="G392" s="400"/>
      <c r="H392" s="400"/>
    </row>
    <row r="393" spans="5:8">
      <c r="E393" s="400"/>
      <c r="F393" s="400"/>
      <c r="G393" s="400"/>
      <c r="H393" s="400"/>
    </row>
    <row r="394" spans="5:8">
      <c r="E394" s="400"/>
      <c r="F394" s="400"/>
      <c r="G394" s="400"/>
      <c r="H394" s="400"/>
    </row>
    <row r="395" spans="5:8">
      <c r="E395" s="400"/>
      <c r="F395" s="400"/>
      <c r="G395" s="400"/>
      <c r="H395" s="400"/>
    </row>
    <row r="396" spans="5:8">
      <c r="E396" s="400"/>
      <c r="F396" s="400"/>
      <c r="G396" s="400"/>
      <c r="H396" s="400"/>
    </row>
    <row r="397" spans="5:8">
      <c r="E397" s="400"/>
      <c r="F397" s="400"/>
      <c r="G397" s="400"/>
      <c r="H397" s="400"/>
    </row>
    <row r="398" spans="5:8">
      <c r="E398" s="400"/>
      <c r="F398" s="400"/>
      <c r="G398" s="400"/>
      <c r="H398" s="400"/>
    </row>
    <row r="399" spans="5:8">
      <c r="E399" s="400"/>
      <c r="F399" s="400"/>
      <c r="G399" s="400"/>
      <c r="H399" s="400"/>
    </row>
    <row r="400" spans="5:8">
      <c r="E400" s="400"/>
      <c r="F400" s="400"/>
      <c r="G400" s="400"/>
      <c r="H400" s="400"/>
    </row>
    <row r="401" spans="5:8">
      <c r="E401" s="400"/>
      <c r="F401" s="400"/>
      <c r="G401" s="400"/>
      <c r="H401" s="400"/>
    </row>
    <row r="402" spans="5:8">
      <c r="E402" s="400"/>
      <c r="F402" s="400"/>
      <c r="G402" s="400"/>
      <c r="H402" s="400"/>
    </row>
    <row r="403" spans="5:8">
      <c r="E403" s="400"/>
      <c r="F403" s="400"/>
      <c r="G403" s="400"/>
      <c r="H403" s="400"/>
    </row>
    <row r="404" spans="5:8">
      <c r="E404" s="400"/>
      <c r="F404" s="400"/>
      <c r="G404" s="400"/>
      <c r="H404" s="400"/>
    </row>
    <row r="405" spans="5:8">
      <c r="E405" s="400"/>
      <c r="F405" s="400"/>
      <c r="G405" s="400"/>
      <c r="H405" s="400"/>
    </row>
    <row r="406" spans="5:8">
      <c r="E406" s="400"/>
      <c r="F406" s="400"/>
      <c r="G406" s="400"/>
      <c r="H406" s="400"/>
    </row>
    <row r="407" spans="5:8">
      <c r="E407" s="400"/>
      <c r="F407" s="400"/>
      <c r="G407" s="400"/>
      <c r="H407" s="400"/>
    </row>
    <row r="408" spans="5:8">
      <c r="E408" s="400"/>
      <c r="F408" s="400"/>
      <c r="G408" s="400"/>
      <c r="H408" s="400"/>
    </row>
    <row r="409" spans="5:8">
      <c r="E409" s="400"/>
      <c r="F409" s="400"/>
      <c r="G409" s="400"/>
      <c r="H409" s="400"/>
    </row>
    <row r="410" spans="5:8">
      <c r="E410" s="400"/>
      <c r="F410" s="400"/>
      <c r="G410" s="400"/>
      <c r="H410" s="400"/>
    </row>
    <row r="411" spans="5:8">
      <c r="E411" s="400"/>
      <c r="F411" s="400"/>
      <c r="G411" s="400"/>
      <c r="H411" s="400"/>
    </row>
    <row r="412" spans="5:8">
      <c r="E412" s="400"/>
      <c r="F412" s="400"/>
      <c r="G412" s="400"/>
      <c r="H412" s="400"/>
    </row>
    <row r="413" spans="5:8">
      <c r="E413" s="400"/>
      <c r="F413" s="400"/>
      <c r="G413" s="400"/>
      <c r="H413" s="400"/>
    </row>
    <row r="414" spans="5:8">
      <c r="E414" s="400"/>
      <c r="F414" s="400"/>
      <c r="G414" s="400"/>
      <c r="H414" s="400"/>
    </row>
    <row r="415" spans="5:8">
      <c r="E415" s="400"/>
      <c r="F415" s="400"/>
      <c r="G415" s="400"/>
      <c r="H415" s="400"/>
    </row>
    <row r="416" spans="5:8">
      <c r="E416" s="400"/>
      <c r="F416" s="400"/>
      <c r="G416" s="400"/>
      <c r="H416" s="400"/>
    </row>
    <row r="417" spans="5:8">
      <c r="E417" s="400"/>
      <c r="F417" s="400"/>
      <c r="G417" s="400"/>
      <c r="H417" s="400"/>
    </row>
    <row r="418" spans="5:8">
      <c r="E418" s="400"/>
      <c r="F418" s="400"/>
      <c r="G418" s="400"/>
      <c r="H418" s="400"/>
    </row>
    <row r="419" spans="5:8">
      <c r="E419" s="400"/>
      <c r="F419" s="400"/>
      <c r="G419" s="400"/>
      <c r="H419" s="400"/>
    </row>
    <row r="420" spans="5:8">
      <c r="E420" s="400"/>
      <c r="F420" s="400"/>
      <c r="G420" s="400"/>
      <c r="H420" s="400"/>
    </row>
    <row r="421" spans="5:8">
      <c r="E421" s="400"/>
      <c r="F421" s="400"/>
      <c r="G421" s="400"/>
      <c r="H421" s="400"/>
    </row>
    <row r="422" spans="5:8">
      <c r="E422" s="400"/>
      <c r="F422" s="400"/>
      <c r="G422" s="400"/>
      <c r="H422" s="400"/>
    </row>
    <row r="423" spans="5:8">
      <c r="E423" s="400"/>
      <c r="F423" s="400"/>
      <c r="G423" s="400"/>
      <c r="H423" s="400"/>
    </row>
    <row r="424" spans="5:8">
      <c r="E424" s="400"/>
      <c r="F424" s="400"/>
      <c r="G424" s="400"/>
      <c r="H424" s="400"/>
    </row>
    <row r="425" spans="5:8">
      <c r="E425" s="400"/>
      <c r="F425" s="400"/>
      <c r="G425" s="400"/>
      <c r="H425" s="400"/>
    </row>
    <row r="426" spans="5:8">
      <c r="E426" s="400"/>
      <c r="F426" s="400"/>
      <c r="G426" s="400"/>
      <c r="H426" s="400"/>
    </row>
    <row r="427" spans="5:8">
      <c r="E427" s="400"/>
      <c r="F427" s="400"/>
      <c r="G427" s="400"/>
      <c r="H427" s="400"/>
    </row>
    <row r="428" spans="5:8">
      <c r="E428" s="400"/>
      <c r="F428" s="400"/>
      <c r="G428" s="400"/>
      <c r="H428" s="400"/>
    </row>
    <row r="429" spans="5:8">
      <c r="E429" s="400"/>
      <c r="F429" s="400"/>
      <c r="G429" s="400"/>
      <c r="H429" s="400"/>
    </row>
    <row r="430" spans="5:8">
      <c r="E430" s="400"/>
      <c r="F430" s="400"/>
      <c r="G430" s="400"/>
      <c r="H430" s="400"/>
    </row>
    <row r="431" spans="5:8">
      <c r="E431" s="400"/>
      <c r="F431" s="400"/>
      <c r="G431" s="400"/>
      <c r="H431" s="400"/>
    </row>
    <row r="432" spans="5:8">
      <c r="E432" s="400"/>
      <c r="F432" s="400"/>
      <c r="G432" s="400"/>
      <c r="H432" s="400"/>
    </row>
    <row r="433" spans="5:8">
      <c r="E433" s="400"/>
      <c r="F433" s="400"/>
      <c r="G433" s="400"/>
      <c r="H433" s="400"/>
    </row>
    <row r="434" spans="5:8">
      <c r="E434" s="400"/>
      <c r="F434" s="400"/>
      <c r="G434" s="400"/>
      <c r="H434" s="400"/>
    </row>
    <row r="435" spans="5:8">
      <c r="E435" s="400"/>
      <c r="F435" s="400"/>
      <c r="G435" s="400"/>
      <c r="H435" s="400"/>
    </row>
    <row r="436" spans="5:8">
      <c r="E436" s="400"/>
      <c r="F436" s="400"/>
      <c r="G436" s="400"/>
      <c r="H436" s="400"/>
    </row>
    <row r="437" spans="5:8">
      <c r="E437" s="400"/>
      <c r="F437" s="400"/>
      <c r="G437" s="400"/>
      <c r="H437" s="400"/>
    </row>
    <row r="438" spans="5:8">
      <c r="E438" s="400"/>
      <c r="F438" s="400"/>
      <c r="G438" s="400"/>
      <c r="H438" s="400"/>
    </row>
    <row r="439" spans="5:8">
      <c r="E439" s="400"/>
      <c r="F439" s="400"/>
      <c r="G439" s="400"/>
      <c r="H439" s="400"/>
    </row>
    <row r="440" spans="5:8">
      <c r="E440" s="400"/>
      <c r="F440" s="400"/>
      <c r="G440" s="400"/>
      <c r="H440" s="400"/>
    </row>
    <row r="441" spans="5:8">
      <c r="E441" s="400"/>
      <c r="F441" s="400"/>
      <c r="G441" s="400"/>
      <c r="H441" s="400"/>
    </row>
    <row r="442" spans="5:8">
      <c r="E442" s="400"/>
      <c r="F442" s="400"/>
      <c r="G442" s="400"/>
      <c r="H442" s="400"/>
    </row>
    <row r="443" spans="5:8">
      <c r="E443" s="400"/>
      <c r="F443" s="400"/>
      <c r="G443" s="400"/>
      <c r="H443" s="400"/>
    </row>
    <row r="444" spans="5:8">
      <c r="E444" s="400"/>
      <c r="F444" s="400"/>
      <c r="G444" s="400"/>
      <c r="H444" s="400"/>
    </row>
    <row r="445" spans="5:8">
      <c r="E445" s="400"/>
      <c r="F445" s="400"/>
      <c r="G445" s="400"/>
      <c r="H445" s="400"/>
    </row>
    <row r="446" spans="5:8">
      <c r="E446" s="400"/>
      <c r="F446" s="400"/>
      <c r="G446" s="400"/>
      <c r="H446" s="400"/>
    </row>
    <row r="447" spans="5:8">
      <c r="E447" s="400"/>
      <c r="F447" s="400"/>
      <c r="G447" s="400"/>
      <c r="H447" s="400"/>
    </row>
    <row r="448" spans="5:8">
      <c r="E448" s="400"/>
      <c r="F448" s="400"/>
      <c r="G448" s="400"/>
      <c r="H448" s="400"/>
    </row>
    <row r="449" spans="5:8">
      <c r="E449" s="400"/>
      <c r="F449" s="400"/>
      <c r="G449" s="400"/>
      <c r="H449" s="400"/>
    </row>
    <row r="450" spans="5:8">
      <c r="E450" s="400"/>
      <c r="F450" s="400"/>
      <c r="G450" s="400"/>
      <c r="H450" s="400"/>
    </row>
    <row r="451" spans="5:8">
      <c r="E451" s="400"/>
      <c r="F451" s="400"/>
      <c r="G451" s="400"/>
      <c r="H451" s="400"/>
    </row>
    <row r="452" spans="5:8">
      <c r="E452" s="400"/>
      <c r="F452" s="400"/>
      <c r="G452" s="400"/>
      <c r="H452" s="400"/>
    </row>
    <row r="453" spans="5:8">
      <c r="E453" s="400"/>
      <c r="F453" s="400"/>
      <c r="G453" s="400"/>
      <c r="H453" s="400"/>
    </row>
    <row r="454" spans="5:8">
      <c r="E454" s="400"/>
      <c r="F454" s="400"/>
      <c r="G454" s="400"/>
      <c r="H454" s="400"/>
    </row>
    <row r="455" spans="5:8">
      <c r="E455" s="400"/>
      <c r="F455" s="400"/>
      <c r="G455" s="400"/>
      <c r="H455" s="400"/>
    </row>
    <row r="456" spans="5:8">
      <c r="E456" s="400"/>
      <c r="F456" s="400"/>
      <c r="G456" s="400"/>
      <c r="H456" s="400"/>
    </row>
    <row r="457" spans="5:8">
      <c r="E457" s="400"/>
      <c r="F457" s="400"/>
      <c r="G457" s="400"/>
      <c r="H457" s="400"/>
    </row>
    <row r="458" spans="5:8">
      <c r="E458" s="400"/>
      <c r="F458" s="400"/>
      <c r="G458" s="400"/>
      <c r="H458" s="400"/>
    </row>
    <row r="459" spans="5:8">
      <c r="E459" s="400"/>
      <c r="F459" s="400"/>
      <c r="G459" s="400"/>
      <c r="H459" s="400"/>
    </row>
    <row r="460" spans="5:8">
      <c r="E460" s="400"/>
      <c r="F460" s="400"/>
      <c r="G460" s="400"/>
      <c r="H460" s="400"/>
    </row>
    <row r="461" spans="5:8">
      <c r="E461" s="400"/>
      <c r="F461" s="400"/>
      <c r="G461" s="400"/>
      <c r="H461" s="400"/>
    </row>
    <row r="462" spans="5:8">
      <c r="E462" s="400"/>
      <c r="F462" s="400"/>
      <c r="G462" s="400"/>
      <c r="H462" s="400"/>
    </row>
    <row r="463" spans="5:8">
      <c r="E463" s="400"/>
      <c r="F463" s="400"/>
      <c r="G463" s="400"/>
      <c r="H463" s="400"/>
    </row>
    <row r="464" spans="5:8">
      <c r="E464" s="400"/>
      <c r="F464" s="400"/>
      <c r="G464" s="400"/>
      <c r="H464" s="400"/>
    </row>
    <row r="465" spans="5:8">
      <c r="E465" s="400"/>
      <c r="F465" s="400"/>
      <c r="G465" s="400"/>
      <c r="H465" s="400"/>
    </row>
    <row r="466" spans="5:8">
      <c r="E466" s="400"/>
      <c r="F466" s="400"/>
      <c r="G466" s="400"/>
      <c r="H466" s="400"/>
    </row>
    <row r="467" spans="5:8">
      <c r="E467" s="400"/>
      <c r="F467" s="400"/>
      <c r="G467" s="400"/>
      <c r="H467" s="400"/>
    </row>
    <row r="468" spans="5:8">
      <c r="E468" s="400"/>
      <c r="F468" s="400"/>
      <c r="G468" s="400"/>
      <c r="H468" s="400"/>
    </row>
    <row r="469" spans="5:8">
      <c r="E469" s="400"/>
      <c r="F469" s="400"/>
      <c r="G469" s="400"/>
      <c r="H469" s="400"/>
    </row>
    <row r="470" spans="5:8">
      <c r="E470" s="400"/>
      <c r="F470" s="400"/>
      <c r="G470" s="400"/>
      <c r="H470" s="400"/>
    </row>
    <row r="471" spans="5:8">
      <c r="E471" s="400"/>
      <c r="F471" s="400"/>
      <c r="G471" s="400"/>
      <c r="H471" s="400"/>
    </row>
    <row r="472" spans="5:8">
      <c r="E472" s="400"/>
      <c r="F472" s="400"/>
      <c r="G472" s="400"/>
      <c r="H472" s="400"/>
    </row>
    <row r="473" spans="5:8">
      <c r="E473" s="400"/>
      <c r="F473" s="400"/>
      <c r="G473" s="400"/>
      <c r="H473" s="400"/>
    </row>
    <row r="474" spans="5:8">
      <c r="E474" s="400"/>
      <c r="F474" s="400"/>
      <c r="G474" s="400"/>
      <c r="H474" s="400"/>
    </row>
    <row r="475" spans="5:8">
      <c r="E475" s="400"/>
      <c r="F475" s="400"/>
      <c r="G475" s="400"/>
      <c r="H475" s="400"/>
    </row>
    <row r="476" spans="5:8">
      <c r="E476" s="400"/>
      <c r="F476" s="400"/>
      <c r="G476" s="400"/>
      <c r="H476" s="400"/>
    </row>
    <row r="477" spans="5:8">
      <c r="E477" s="400"/>
      <c r="F477" s="400"/>
      <c r="G477" s="400"/>
      <c r="H477" s="400"/>
    </row>
    <row r="478" spans="5:8">
      <c r="E478" s="400"/>
      <c r="F478" s="400"/>
      <c r="G478" s="400"/>
      <c r="H478" s="400"/>
    </row>
    <row r="479" spans="5:8">
      <c r="E479" s="400"/>
      <c r="F479" s="400"/>
      <c r="G479" s="400"/>
      <c r="H479" s="400"/>
    </row>
    <row r="480" spans="5:8">
      <c r="E480" s="400"/>
      <c r="F480" s="400"/>
      <c r="G480" s="400"/>
      <c r="H480" s="400"/>
    </row>
    <row r="481" spans="5:8">
      <c r="E481" s="400"/>
      <c r="F481" s="400"/>
      <c r="G481" s="400"/>
      <c r="H481" s="400"/>
    </row>
    <row r="482" spans="5:8">
      <c r="E482" s="400"/>
      <c r="F482" s="400"/>
      <c r="G482" s="400"/>
      <c r="H482" s="400"/>
    </row>
    <row r="483" spans="5:8">
      <c r="E483" s="400"/>
      <c r="F483" s="400"/>
      <c r="G483" s="400"/>
      <c r="H483" s="400"/>
    </row>
    <row r="484" spans="5:8">
      <c r="E484" s="400"/>
      <c r="F484" s="400"/>
      <c r="G484" s="400"/>
      <c r="H484" s="400"/>
    </row>
    <row r="485" spans="5:8">
      <c r="E485" s="400"/>
      <c r="F485" s="400"/>
      <c r="G485" s="400"/>
      <c r="H485" s="400"/>
    </row>
    <row r="486" spans="5:8">
      <c r="E486" s="400"/>
      <c r="F486" s="400"/>
      <c r="G486" s="400"/>
      <c r="H486" s="400"/>
    </row>
    <row r="487" spans="5:8">
      <c r="E487" s="400"/>
      <c r="F487" s="400"/>
      <c r="G487" s="400"/>
      <c r="H487" s="400"/>
    </row>
    <row r="488" spans="5:8">
      <c r="E488" s="400"/>
      <c r="F488" s="400"/>
      <c r="G488" s="400"/>
      <c r="H488" s="400"/>
    </row>
    <row r="489" spans="5:8">
      <c r="E489" s="400"/>
      <c r="F489" s="400"/>
      <c r="G489" s="400"/>
      <c r="H489" s="400"/>
    </row>
    <row r="490" spans="5:8">
      <c r="E490" s="400"/>
      <c r="F490" s="400"/>
      <c r="G490" s="400"/>
      <c r="H490" s="400"/>
    </row>
    <row r="491" spans="5:8">
      <c r="E491" s="400"/>
      <c r="F491" s="400"/>
      <c r="G491" s="400"/>
      <c r="H491" s="400"/>
    </row>
    <row r="492" spans="5:8">
      <c r="E492" s="400"/>
      <c r="F492" s="400"/>
      <c r="G492" s="400"/>
      <c r="H492" s="400"/>
    </row>
    <row r="493" spans="5:8">
      <c r="E493" s="400"/>
      <c r="F493" s="400"/>
      <c r="G493" s="400"/>
      <c r="H493" s="400"/>
    </row>
    <row r="494" spans="5:8">
      <c r="E494" s="400"/>
      <c r="F494" s="400"/>
      <c r="G494" s="400"/>
      <c r="H494" s="400"/>
    </row>
    <row r="495" spans="5:8">
      <c r="E495" s="400"/>
      <c r="F495" s="400"/>
      <c r="G495" s="400"/>
      <c r="H495" s="400"/>
    </row>
    <row r="496" spans="5:8">
      <c r="E496" s="400"/>
      <c r="F496" s="400"/>
      <c r="G496" s="400"/>
      <c r="H496" s="400"/>
    </row>
    <row r="497" spans="5:8">
      <c r="E497" s="400"/>
      <c r="F497" s="400"/>
      <c r="G497" s="400"/>
      <c r="H497" s="400"/>
    </row>
    <row r="498" spans="5:8">
      <c r="E498" s="400"/>
      <c r="F498" s="400"/>
      <c r="G498" s="400"/>
      <c r="H498" s="400"/>
    </row>
    <row r="499" spans="5:8">
      <c r="E499" s="400"/>
      <c r="F499" s="400"/>
      <c r="G499" s="400"/>
      <c r="H499" s="400"/>
    </row>
    <row r="500" spans="5:8">
      <c r="E500" s="400"/>
      <c r="F500" s="400"/>
      <c r="G500" s="400"/>
      <c r="H500" s="400"/>
    </row>
    <row r="501" spans="5:8">
      <c r="E501" s="400"/>
      <c r="F501" s="400"/>
      <c r="G501" s="400"/>
      <c r="H501" s="400"/>
    </row>
    <row r="502" spans="5:8">
      <c r="E502" s="400"/>
      <c r="F502" s="400"/>
      <c r="G502" s="400"/>
      <c r="H502" s="400"/>
    </row>
    <row r="503" spans="5:8">
      <c r="E503" s="400"/>
      <c r="F503" s="400"/>
      <c r="G503" s="400"/>
      <c r="H503" s="400"/>
    </row>
    <row r="504" spans="5:8">
      <c r="E504" s="400"/>
      <c r="F504" s="400"/>
      <c r="G504" s="400"/>
      <c r="H504" s="400"/>
    </row>
    <row r="505" spans="5:8">
      <c r="E505" s="400"/>
      <c r="F505" s="400"/>
      <c r="G505" s="400"/>
      <c r="H505" s="400"/>
    </row>
    <row r="506" spans="5:8">
      <c r="E506" s="400"/>
      <c r="F506" s="400"/>
      <c r="G506" s="400"/>
      <c r="H506" s="400"/>
    </row>
    <row r="507" spans="5:8">
      <c r="E507" s="400"/>
      <c r="F507" s="400"/>
      <c r="G507" s="400"/>
      <c r="H507" s="400"/>
    </row>
    <row r="508" spans="5:8">
      <c r="E508" s="400"/>
      <c r="F508" s="400"/>
      <c r="G508" s="400"/>
      <c r="H508" s="400"/>
    </row>
    <row r="509" spans="5:8">
      <c r="E509" s="400"/>
      <c r="F509" s="400"/>
      <c r="G509" s="400"/>
      <c r="H509" s="400"/>
    </row>
    <row r="510" spans="5:8">
      <c r="E510" s="400"/>
      <c r="F510" s="400"/>
      <c r="G510" s="400"/>
      <c r="H510" s="400"/>
    </row>
    <row r="511" spans="5:8">
      <c r="E511" s="400"/>
      <c r="F511" s="400"/>
      <c r="G511" s="400"/>
      <c r="H511" s="400"/>
    </row>
    <row r="512" spans="5:8">
      <c r="E512" s="400"/>
      <c r="F512" s="400"/>
      <c r="G512" s="400"/>
      <c r="H512" s="400"/>
    </row>
    <row r="513" spans="5:8">
      <c r="E513" s="400"/>
      <c r="F513" s="400"/>
      <c r="G513" s="400"/>
      <c r="H513" s="400"/>
    </row>
    <row r="514" spans="5:8">
      <c r="E514" s="400"/>
      <c r="F514" s="400"/>
      <c r="G514" s="400"/>
      <c r="H514" s="400"/>
    </row>
    <row r="515" spans="5:8">
      <c r="E515" s="400"/>
      <c r="F515" s="400"/>
      <c r="G515" s="400"/>
      <c r="H515" s="400"/>
    </row>
    <row r="516" spans="5:8">
      <c r="E516" s="400"/>
      <c r="F516" s="400"/>
      <c r="G516" s="400"/>
      <c r="H516" s="400"/>
    </row>
    <row r="517" spans="5:8">
      <c r="E517" s="400"/>
      <c r="F517" s="400"/>
      <c r="G517" s="400"/>
      <c r="H517" s="400"/>
    </row>
    <row r="518" spans="5:8">
      <c r="E518" s="400"/>
      <c r="F518" s="400"/>
      <c r="G518" s="400"/>
      <c r="H518" s="400"/>
    </row>
    <row r="519" spans="5:8">
      <c r="E519" s="400"/>
      <c r="F519" s="400"/>
      <c r="G519" s="400"/>
      <c r="H519" s="400"/>
    </row>
    <row r="520" spans="5:8">
      <c r="E520" s="400"/>
      <c r="F520" s="400"/>
      <c r="G520" s="400"/>
      <c r="H520" s="400"/>
    </row>
    <row r="521" spans="5:8">
      <c r="E521" s="400"/>
      <c r="F521" s="400"/>
      <c r="G521" s="400"/>
      <c r="H521" s="400"/>
    </row>
    <row r="522" spans="5:8">
      <c r="E522" s="400"/>
      <c r="F522" s="400"/>
      <c r="G522" s="400"/>
      <c r="H522" s="400"/>
    </row>
    <row r="523" spans="5:8">
      <c r="E523" s="400"/>
      <c r="F523" s="400"/>
      <c r="G523" s="400"/>
      <c r="H523" s="400"/>
    </row>
    <row r="524" spans="5:8">
      <c r="E524" s="400"/>
      <c r="F524" s="400"/>
      <c r="G524" s="400"/>
      <c r="H524" s="400"/>
    </row>
    <row r="525" spans="5:8">
      <c r="E525" s="400"/>
      <c r="F525" s="400"/>
      <c r="G525" s="400"/>
      <c r="H525" s="400"/>
    </row>
    <row r="526" spans="5:8">
      <c r="E526" s="400"/>
      <c r="F526" s="400"/>
      <c r="G526" s="400"/>
      <c r="H526" s="400"/>
    </row>
    <row r="527" spans="5:8">
      <c r="E527" s="400"/>
      <c r="F527" s="400"/>
      <c r="G527" s="400"/>
      <c r="H527" s="400"/>
    </row>
    <row r="528" spans="5:8">
      <c r="E528" s="400"/>
      <c r="F528" s="400"/>
      <c r="G528" s="400"/>
      <c r="H528" s="400"/>
    </row>
    <row r="529" spans="5:8">
      <c r="E529" s="400"/>
      <c r="F529" s="400"/>
      <c r="G529" s="400"/>
      <c r="H529" s="400"/>
    </row>
    <row r="530" spans="5:8">
      <c r="E530" s="400"/>
      <c r="F530" s="400"/>
      <c r="G530" s="400"/>
      <c r="H530" s="400"/>
    </row>
    <row r="531" spans="5:8">
      <c r="E531" s="400"/>
      <c r="F531" s="400"/>
      <c r="G531" s="400"/>
      <c r="H531" s="400"/>
    </row>
    <row r="532" spans="5:8">
      <c r="E532" s="400"/>
      <c r="F532" s="400"/>
      <c r="G532" s="400"/>
      <c r="H532" s="400"/>
    </row>
    <row r="533" spans="5:8">
      <c r="E533" s="400"/>
      <c r="F533" s="400"/>
      <c r="G533" s="400"/>
      <c r="H533" s="400"/>
    </row>
    <row r="534" spans="5:8">
      <c r="E534" s="400"/>
      <c r="F534" s="400"/>
      <c r="G534" s="400"/>
      <c r="H534" s="400"/>
    </row>
    <row r="535" spans="5:8">
      <c r="E535" s="400"/>
      <c r="F535" s="400"/>
      <c r="G535" s="400"/>
      <c r="H535" s="400"/>
    </row>
    <row r="536" spans="5:8">
      <c r="E536" s="400"/>
      <c r="F536" s="400"/>
      <c r="G536" s="400"/>
      <c r="H536" s="400"/>
    </row>
    <row r="537" spans="5:8">
      <c r="E537" s="400"/>
      <c r="F537" s="400"/>
      <c r="G537" s="400"/>
      <c r="H537" s="400"/>
    </row>
    <row r="538" spans="5:8">
      <c r="E538" s="400"/>
      <c r="F538" s="400"/>
      <c r="G538" s="400"/>
      <c r="H538" s="400"/>
    </row>
    <row r="539" spans="5:8">
      <c r="E539" s="400"/>
      <c r="F539" s="400"/>
      <c r="G539" s="400"/>
      <c r="H539" s="400"/>
    </row>
    <row r="540" spans="5:8">
      <c r="E540" s="400"/>
      <c r="F540" s="400"/>
      <c r="G540" s="400"/>
      <c r="H540" s="400"/>
    </row>
    <row r="541" spans="5:8">
      <c r="E541" s="400"/>
      <c r="F541" s="400"/>
      <c r="G541" s="400"/>
      <c r="H541" s="400"/>
    </row>
    <row r="542" spans="5:8">
      <c r="E542" s="400"/>
      <c r="F542" s="400"/>
      <c r="G542" s="400"/>
      <c r="H542" s="400"/>
    </row>
    <row r="543" spans="5:8">
      <c r="E543" s="400"/>
      <c r="F543" s="400"/>
      <c r="G543" s="400"/>
      <c r="H543" s="400"/>
    </row>
    <row r="544" spans="5:8">
      <c r="E544" s="400"/>
      <c r="F544" s="400"/>
      <c r="G544" s="400"/>
      <c r="H544" s="400"/>
    </row>
    <row r="545" spans="5:8">
      <c r="E545" s="400"/>
      <c r="F545" s="400"/>
      <c r="G545" s="400"/>
      <c r="H545" s="400"/>
    </row>
    <row r="546" spans="5:8">
      <c r="E546" s="400"/>
      <c r="F546" s="400"/>
      <c r="G546" s="400"/>
      <c r="H546" s="400"/>
    </row>
    <row r="547" spans="5:8">
      <c r="E547" s="400"/>
      <c r="F547" s="400"/>
      <c r="G547" s="400"/>
      <c r="H547" s="400"/>
    </row>
    <row r="548" spans="5:8">
      <c r="E548" s="400"/>
      <c r="F548" s="400"/>
      <c r="G548" s="400"/>
      <c r="H548" s="400"/>
    </row>
    <row r="549" spans="5:8">
      <c r="E549" s="400"/>
      <c r="F549" s="400"/>
      <c r="G549" s="400"/>
      <c r="H549" s="400"/>
    </row>
    <row r="550" spans="5:8">
      <c r="E550" s="400"/>
      <c r="F550" s="400"/>
      <c r="G550" s="400"/>
      <c r="H550" s="400"/>
    </row>
    <row r="551" spans="5:8">
      <c r="E551" s="400"/>
      <c r="F551" s="400"/>
      <c r="G551" s="400"/>
      <c r="H551" s="400"/>
    </row>
    <row r="552" spans="5:8">
      <c r="E552" s="400"/>
      <c r="F552" s="400"/>
      <c r="G552" s="400"/>
      <c r="H552" s="400"/>
    </row>
    <row r="553" spans="5:8">
      <c r="E553" s="400"/>
      <c r="F553" s="400"/>
      <c r="G553" s="400"/>
      <c r="H553" s="400"/>
    </row>
    <row r="554" spans="5:8">
      <c r="E554" s="400"/>
      <c r="F554" s="400"/>
      <c r="G554" s="400"/>
      <c r="H554" s="400"/>
    </row>
    <row r="555" spans="5:8">
      <c r="E555" s="400"/>
      <c r="F555" s="400"/>
      <c r="G555" s="400"/>
      <c r="H555" s="400"/>
    </row>
    <row r="556" spans="5:8">
      <c r="E556" s="400"/>
      <c r="F556" s="400"/>
      <c r="G556" s="400"/>
      <c r="H556" s="400"/>
    </row>
    <row r="557" spans="5:8">
      <c r="E557" s="400"/>
      <c r="F557" s="400"/>
      <c r="G557" s="400"/>
      <c r="H557" s="400"/>
    </row>
    <row r="558" spans="5:8">
      <c r="E558" s="400"/>
      <c r="F558" s="400"/>
      <c r="G558" s="400"/>
      <c r="H558" s="400"/>
    </row>
    <row r="559" spans="5:8">
      <c r="E559" s="400"/>
      <c r="F559" s="400"/>
      <c r="G559" s="400"/>
      <c r="H559" s="400"/>
    </row>
    <row r="560" spans="5:8">
      <c r="E560" s="400"/>
      <c r="F560" s="400"/>
      <c r="G560" s="400"/>
      <c r="H560" s="400"/>
    </row>
    <row r="561" spans="5:8">
      <c r="E561" s="400"/>
      <c r="F561" s="400"/>
      <c r="G561" s="400"/>
      <c r="H561" s="400"/>
    </row>
    <row r="562" spans="5:8">
      <c r="E562" s="400"/>
      <c r="F562" s="400"/>
      <c r="G562" s="400"/>
      <c r="H562" s="400"/>
    </row>
    <row r="563" spans="5:8">
      <c r="E563" s="400"/>
      <c r="F563" s="400"/>
      <c r="G563" s="400"/>
      <c r="H563" s="400"/>
    </row>
    <row r="564" spans="5:8">
      <c r="E564" s="400"/>
      <c r="F564" s="400"/>
      <c r="G564" s="400"/>
      <c r="H564" s="400"/>
    </row>
    <row r="565" spans="5:8">
      <c r="E565" s="400"/>
      <c r="F565" s="400"/>
      <c r="G565" s="400"/>
      <c r="H565" s="400"/>
    </row>
    <row r="566" spans="5:8">
      <c r="E566" s="400"/>
      <c r="F566" s="400"/>
      <c r="G566" s="400"/>
      <c r="H566" s="400"/>
    </row>
    <row r="567" spans="5:8">
      <c r="E567" s="400"/>
      <c r="F567" s="400"/>
      <c r="G567" s="400"/>
      <c r="H567" s="400"/>
    </row>
    <row r="568" spans="5:8">
      <c r="E568" s="400"/>
      <c r="F568" s="400"/>
      <c r="G568" s="400"/>
      <c r="H568" s="400"/>
    </row>
    <row r="569" spans="5:8">
      <c r="E569" s="400"/>
      <c r="F569" s="400"/>
      <c r="G569" s="400"/>
      <c r="H569" s="400"/>
    </row>
    <row r="570" spans="5:8">
      <c r="E570" s="400"/>
      <c r="F570" s="400"/>
      <c r="G570" s="400"/>
      <c r="H570" s="400"/>
    </row>
    <row r="571" spans="5:8">
      <c r="E571" s="400"/>
      <c r="F571" s="400"/>
      <c r="G571" s="400"/>
      <c r="H571" s="400"/>
    </row>
    <row r="572" spans="5:8">
      <c r="E572" s="400"/>
      <c r="F572" s="400"/>
      <c r="G572" s="400"/>
      <c r="H572" s="400"/>
    </row>
    <row r="573" spans="5:8">
      <c r="E573" s="400"/>
      <c r="F573" s="400"/>
      <c r="G573" s="400"/>
      <c r="H573" s="400"/>
    </row>
    <row r="574" spans="5:8">
      <c r="E574" s="400"/>
      <c r="F574" s="400"/>
      <c r="G574" s="400"/>
      <c r="H574" s="400"/>
    </row>
    <row r="575" spans="5:8">
      <c r="E575" s="400"/>
      <c r="F575" s="400"/>
      <c r="G575" s="400"/>
      <c r="H575" s="400"/>
    </row>
    <row r="576" spans="5:8">
      <c r="E576" s="400"/>
      <c r="F576" s="400"/>
      <c r="G576" s="400"/>
      <c r="H576" s="400"/>
    </row>
    <row r="577" spans="5:8">
      <c r="E577" s="400"/>
      <c r="F577" s="400"/>
      <c r="G577" s="400"/>
      <c r="H577" s="400"/>
    </row>
    <row r="578" spans="5:8">
      <c r="E578" s="400"/>
      <c r="F578" s="400"/>
      <c r="G578" s="400"/>
      <c r="H578" s="400"/>
    </row>
    <row r="579" spans="5:8">
      <c r="E579" s="400"/>
      <c r="F579" s="400"/>
      <c r="G579" s="400"/>
      <c r="H579" s="400"/>
    </row>
    <row r="580" spans="5:8">
      <c r="E580" s="400"/>
      <c r="F580" s="400"/>
      <c r="G580" s="400"/>
      <c r="H580" s="400"/>
    </row>
    <row r="581" spans="5:8">
      <c r="E581" s="400"/>
      <c r="F581" s="400"/>
      <c r="G581" s="400"/>
      <c r="H581" s="400"/>
    </row>
    <row r="582" spans="5:8">
      <c r="E582" s="400"/>
      <c r="F582" s="400"/>
      <c r="G582" s="400"/>
      <c r="H582" s="400"/>
    </row>
    <row r="583" spans="5:8">
      <c r="E583" s="400"/>
      <c r="F583" s="400"/>
      <c r="G583" s="400"/>
      <c r="H583" s="400"/>
    </row>
    <row r="584" spans="5:8">
      <c r="E584" s="400"/>
      <c r="F584" s="400"/>
      <c r="G584" s="400"/>
      <c r="H584" s="400"/>
    </row>
    <row r="585" spans="5:8">
      <c r="E585" s="400"/>
      <c r="F585" s="400"/>
      <c r="G585" s="400"/>
      <c r="H585" s="400"/>
    </row>
    <row r="586" spans="5:8">
      <c r="E586" s="400"/>
      <c r="F586" s="400"/>
      <c r="G586" s="400"/>
      <c r="H586" s="400"/>
    </row>
    <row r="587" spans="5:8">
      <c r="E587" s="400"/>
      <c r="F587" s="400"/>
      <c r="G587" s="400"/>
      <c r="H587" s="400"/>
    </row>
    <row r="588" spans="5:8">
      <c r="E588" s="400"/>
      <c r="F588" s="400"/>
      <c r="G588" s="400"/>
      <c r="H588" s="400"/>
    </row>
    <row r="589" spans="5:8">
      <c r="E589" s="400"/>
      <c r="F589" s="400"/>
      <c r="G589" s="400"/>
      <c r="H589" s="400"/>
    </row>
    <row r="590" spans="5:8">
      <c r="E590" s="400"/>
      <c r="F590" s="400"/>
      <c r="G590" s="400"/>
      <c r="H590" s="400"/>
    </row>
    <row r="591" spans="5:8">
      <c r="E591" s="400"/>
      <c r="F591" s="400"/>
      <c r="G591" s="400"/>
      <c r="H591" s="400"/>
    </row>
    <row r="592" spans="5:8">
      <c r="E592" s="400"/>
      <c r="F592" s="400"/>
      <c r="G592" s="400"/>
      <c r="H592" s="400"/>
    </row>
    <row r="593" spans="5:8">
      <c r="E593" s="400"/>
      <c r="F593" s="400"/>
      <c r="G593" s="400"/>
      <c r="H593" s="400"/>
    </row>
    <row r="594" spans="5:8">
      <c r="E594" s="400"/>
      <c r="F594" s="400"/>
      <c r="G594" s="400"/>
      <c r="H594" s="400"/>
    </row>
    <row r="595" spans="5:8">
      <c r="E595" s="400"/>
      <c r="F595" s="400"/>
      <c r="G595" s="400"/>
      <c r="H595" s="400"/>
    </row>
    <row r="596" spans="5:8">
      <c r="E596" s="400"/>
      <c r="F596" s="400"/>
      <c r="G596" s="400"/>
      <c r="H596" s="400"/>
    </row>
    <row r="597" spans="5:8">
      <c r="E597" s="400"/>
      <c r="F597" s="400"/>
      <c r="G597" s="400"/>
      <c r="H597" s="400"/>
    </row>
    <row r="598" spans="5:8">
      <c r="E598" s="400"/>
      <c r="F598" s="400"/>
      <c r="G598" s="400"/>
      <c r="H598" s="400"/>
    </row>
    <row r="599" spans="5:8">
      <c r="E599" s="400"/>
      <c r="F599" s="400"/>
      <c r="G599" s="400"/>
      <c r="H599" s="400"/>
    </row>
    <row r="600" spans="5:8">
      <c r="E600" s="400"/>
      <c r="F600" s="400"/>
      <c r="G600" s="400"/>
      <c r="H600" s="400"/>
    </row>
    <row r="601" spans="5:8">
      <c r="E601" s="400"/>
      <c r="F601" s="400"/>
      <c r="G601" s="400"/>
      <c r="H601" s="400"/>
    </row>
    <row r="602" spans="5:8">
      <c r="E602" s="400"/>
      <c r="F602" s="400"/>
      <c r="G602" s="400"/>
      <c r="H602" s="400"/>
    </row>
    <row r="603" spans="5:8">
      <c r="E603" s="400"/>
      <c r="F603" s="400"/>
      <c r="G603" s="400"/>
      <c r="H603" s="400"/>
    </row>
    <row r="604" spans="5:8">
      <c r="E604" s="400"/>
      <c r="F604" s="400"/>
      <c r="G604" s="400"/>
      <c r="H604" s="400"/>
    </row>
    <row r="605" spans="5:8">
      <c r="E605" s="400"/>
      <c r="F605" s="400"/>
      <c r="G605" s="400"/>
      <c r="H605" s="400"/>
    </row>
    <row r="606" spans="5:8">
      <c r="E606" s="400"/>
      <c r="F606" s="400"/>
      <c r="G606" s="400"/>
      <c r="H606" s="400"/>
    </row>
    <row r="607" spans="5:8">
      <c r="E607" s="400"/>
      <c r="F607" s="400"/>
      <c r="G607" s="400"/>
      <c r="H607" s="400"/>
    </row>
    <row r="608" spans="5:8">
      <c r="E608" s="400"/>
      <c r="F608" s="400"/>
      <c r="G608" s="400"/>
      <c r="H608" s="400"/>
    </row>
    <row r="609" spans="5:8">
      <c r="E609" s="400"/>
      <c r="F609" s="400"/>
      <c r="G609" s="400"/>
      <c r="H609" s="400"/>
    </row>
    <row r="610" spans="5:8">
      <c r="E610" s="400"/>
      <c r="F610" s="400"/>
      <c r="G610" s="400"/>
      <c r="H610" s="400"/>
    </row>
    <row r="611" spans="5:8">
      <c r="E611" s="400"/>
      <c r="F611" s="400"/>
      <c r="G611" s="400"/>
      <c r="H611" s="400"/>
    </row>
    <row r="612" spans="5:8">
      <c r="E612" s="400"/>
      <c r="F612" s="400"/>
      <c r="G612" s="400"/>
      <c r="H612" s="400"/>
    </row>
    <row r="613" spans="5:8">
      <c r="E613" s="400"/>
      <c r="F613" s="400"/>
      <c r="G613" s="400"/>
      <c r="H613" s="400"/>
    </row>
    <row r="614" spans="5:8">
      <c r="E614" s="400"/>
      <c r="F614" s="400"/>
      <c r="G614" s="400"/>
      <c r="H614" s="400"/>
    </row>
    <row r="615" spans="5:8">
      <c r="E615" s="400"/>
      <c r="F615" s="400"/>
      <c r="G615" s="400"/>
      <c r="H615" s="400"/>
    </row>
    <row r="616" spans="5:8">
      <c r="E616" s="400"/>
      <c r="F616" s="400"/>
      <c r="G616" s="400"/>
      <c r="H616" s="400"/>
    </row>
    <row r="617" spans="5:8">
      <c r="E617" s="400"/>
      <c r="F617" s="400"/>
      <c r="G617" s="400"/>
      <c r="H617" s="400"/>
    </row>
    <row r="618" spans="5:8">
      <c r="E618" s="400"/>
      <c r="F618" s="400"/>
      <c r="G618" s="400"/>
      <c r="H618" s="400"/>
    </row>
    <row r="619" spans="5:8">
      <c r="E619" s="400"/>
      <c r="F619" s="400"/>
      <c r="G619" s="400"/>
      <c r="H619" s="400"/>
    </row>
    <row r="620" spans="5:8">
      <c r="E620" s="400"/>
      <c r="F620" s="400"/>
      <c r="G620" s="400"/>
      <c r="H620" s="400"/>
    </row>
    <row r="621" spans="5:8">
      <c r="E621" s="400"/>
      <c r="F621" s="400"/>
      <c r="G621" s="400"/>
      <c r="H621" s="400"/>
    </row>
    <row r="622" spans="5:8">
      <c r="E622" s="400"/>
      <c r="F622" s="400"/>
      <c r="G622" s="400"/>
      <c r="H622" s="400"/>
    </row>
    <row r="623" spans="5:8">
      <c r="E623" s="400"/>
      <c r="F623" s="400"/>
      <c r="G623" s="400"/>
      <c r="H623" s="400"/>
    </row>
    <row r="624" spans="5:8">
      <c r="E624" s="400"/>
      <c r="F624" s="400"/>
      <c r="G624" s="400"/>
      <c r="H624" s="400"/>
    </row>
    <row r="625" spans="5:8">
      <c r="E625" s="400"/>
      <c r="F625" s="400"/>
      <c r="G625" s="400"/>
      <c r="H625" s="400"/>
    </row>
    <row r="626" spans="5:8">
      <c r="E626" s="400"/>
      <c r="F626" s="400"/>
      <c r="G626" s="400"/>
      <c r="H626" s="400"/>
    </row>
    <row r="627" spans="5:8">
      <c r="E627" s="400"/>
      <c r="F627" s="400"/>
      <c r="G627" s="400"/>
      <c r="H627" s="400"/>
    </row>
    <row r="628" spans="5:8">
      <c r="E628" s="400"/>
      <c r="F628" s="400"/>
      <c r="G628" s="400"/>
      <c r="H628" s="400"/>
    </row>
    <row r="629" spans="5:8">
      <c r="E629" s="400"/>
      <c r="F629" s="400"/>
      <c r="G629" s="400"/>
      <c r="H629" s="400"/>
    </row>
    <row r="630" spans="5:8">
      <c r="E630" s="400"/>
      <c r="F630" s="400"/>
      <c r="G630" s="400"/>
      <c r="H630" s="400"/>
    </row>
    <row r="631" spans="5:8">
      <c r="E631" s="400"/>
      <c r="F631" s="400"/>
      <c r="G631" s="400"/>
      <c r="H631" s="400"/>
    </row>
    <row r="632" spans="5:8">
      <c r="E632" s="400"/>
      <c r="F632" s="400"/>
      <c r="G632" s="400"/>
      <c r="H632" s="400"/>
    </row>
    <row r="633" spans="5:8">
      <c r="E633" s="400"/>
      <c r="F633" s="400"/>
      <c r="G633" s="400"/>
      <c r="H633" s="400"/>
    </row>
    <row r="634" spans="5:8">
      <c r="E634" s="400"/>
      <c r="F634" s="400"/>
      <c r="G634" s="400"/>
      <c r="H634" s="400"/>
    </row>
    <row r="635" spans="5:8">
      <c r="E635" s="400"/>
      <c r="F635" s="400"/>
      <c r="G635" s="400"/>
      <c r="H635" s="400"/>
    </row>
    <row r="636" spans="5:8">
      <c r="E636" s="400"/>
      <c r="F636" s="400"/>
      <c r="G636" s="400"/>
      <c r="H636" s="400"/>
    </row>
    <row r="637" spans="5:8">
      <c r="E637" s="400"/>
      <c r="F637" s="400"/>
      <c r="G637" s="400"/>
      <c r="H637" s="400"/>
    </row>
    <row r="638" spans="5:8">
      <c r="E638" s="400"/>
      <c r="F638" s="400"/>
      <c r="G638" s="400"/>
      <c r="H638" s="400"/>
    </row>
    <row r="639" spans="5:8">
      <c r="E639" s="400"/>
      <c r="F639" s="400"/>
      <c r="G639" s="400"/>
      <c r="H639" s="400"/>
    </row>
    <row r="640" spans="5:8">
      <c r="E640" s="400"/>
      <c r="F640" s="400"/>
      <c r="G640" s="400"/>
      <c r="H640" s="400"/>
    </row>
    <row r="641" spans="5:8">
      <c r="E641" s="400"/>
      <c r="F641" s="400"/>
      <c r="G641" s="400"/>
      <c r="H641" s="400"/>
    </row>
    <row r="642" spans="5:8">
      <c r="E642" s="400"/>
      <c r="F642" s="400"/>
      <c r="G642" s="400"/>
      <c r="H642" s="400"/>
    </row>
    <row r="643" spans="5:8">
      <c r="E643" s="400"/>
      <c r="F643" s="400"/>
      <c r="G643" s="400"/>
      <c r="H643" s="400"/>
    </row>
    <row r="644" spans="5:8">
      <c r="E644" s="400"/>
      <c r="F644" s="400"/>
      <c r="G644" s="400"/>
      <c r="H644" s="400"/>
    </row>
    <row r="645" spans="5:8">
      <c r="E645" s="400"/>
      <c r="F645" s="400"/>
      <c r="G645" s="400"/>
      <c r="H645" s="400"/>
    </row>
    <row r="646" spans="5:8">
      <c r="E646" s="400"/>
      <c r="F646" s="400"/>
      <c r="G646" s="400"/>
      <c r="H646" s="400"/>
    </row>
    <row r="647" spans="5:8">
      <c r="E647" s="400"/>
      <c r="F647" s="400"/>
      <c r="G647" s="400"/>
      <c r="H647" s="400"/>
    </row>
    <row r="648" spans="5:8">
      <c r="E648" s="400"/>
      <c r="F648" s="400"/>
      <c r="G648" s="400"/>
      <c r="H648" s="400"/>
    </row>
    <row r="649" spans="5:8">
      <c r="E649" s="400"/>
      <c r="F649" s="400"/>
      <c r="G649" s="400"/>
      <c r="H649" s="400"/>
    </row>
    <row r="650" spans="5:8">
      <c r="E650" s="400"/>
      <c r="F650" s="400"/>
      <c r="G650" s="400"/>
      <c r="H650" s="400"/>
    </row>
    <row r="651" spans="5:8">
      <c r="E651" s="400"/>
      <c r="F651" s="400"/>
      <c r="G651" s="400"/>
      <c r="H651" s="400"/>
    </row>
    <row r="652" spans="5:8">
      <c r="E652" s="400"/>
      <c r="F652" s="400"/>
      <c r="G652" s="400"/>
      <c r="H652" s="400"/>
    </row>
    <row r="653" spans="5:8">
      <c r="E653" s="400"/>
      <c r="F653" s="400"/>
      <c r="G653" s="400"/>
      <c r="H653" s="400"/>
    </row>
    <row r="654" spans="5:8">
      <c r="E654" s="400"/>
      <c r="F654" s="400"/>
      <c r="G654" s="400"/>
      <c r="H654" s="400"/>
    </row>
    <row r="655" spans="5:8">
      <c r="E655" s="400"/>
      <c r="F655" s="400"/>
      <c r="G655" s="400"/>
      <c r="H655" s="400"/>
    </row>
    <row r="656" spans="5:8">
      <c r="E656" s="400"/>
      <c r="F656" s="400"/>
      <c r="G656" s="400"/>
      <c r="H656" s="400"/>
    </row>
    <row r="657" spans="5:8">
      <c r="E657" s="400"/>
      <c r="F657" s="400"/>
      <c r="G657" s="400"/>
      <c r="H657" s="400"/>
    </row>
    <row r="658" spans="5:8">
      <c r="E658" s="400"/>
      <c r="F658" s="400"/>
      <c r="G658" s="400"/>
      <c r="H658" s="400"/>
    </row>
    <row r="659" spans="5:8">
      <c r="E659" s="400"/>
      <c r="F659" s="400"/>
      <c r="G659" s="400"/>
      <c r="H659" s="400"/>
    </row>
    <row r="660" spans="5:8">
      <c r="E660" s="400"/>
      <c r="F660" s="400"/>
      <c r="G660" s="400"/>
      <c r="H660" s="400"/>
    </row>
    <row r="661" spans="5:8">
      <c r="E661" s="400"/>
      <c r="F661" s="400"/>
      <c r="G661" s="400"/>
      <c r="H661" s="400"/>
    </row>
    <row r="662" spans="5:8">
      <c r="E662" s="400"/>
      <c r="F662" s="400"/>
      <c r="G662" s="400"/>
      <c r="H662" s="400"/>
    </row>
    <row r="663" spans="5:8">
      <c r="E663" s="400"/>
      <c r="F663" s="400"/>
      <c r="G663" s="400"/>
      <c r="H663" s="400"/>
    </row>
    <row r="664" spans="5:8">
      <c r="E664" s="400"/>
      <c r="F664" s="400"/>
      <c r="G664" s="400"/>
      <c r="H664" s="400"/>
    </row>
    <row r="665" spans="5:8">
      <c r="E665" s="400"/>
      <c r="F665" s="400"/>
      <c r="G665" s="400"/>
      <c r="H665" s="400"/>
    </row>
    <row r="666" spans="5:8">
      <c r="E666" s="400"/>
      <c r="F666" s="400"/>
      <c r="G666" s="400"/>
      <c r="H666" s="400"/>
    </row>
    <row r="667" spans="5:8">
      <c r="E667" s="400"/>
      <c r="F667" s="400"/>
      <c r="G667" s="400"/>
      <c r="H667" s="400"/>
    </row>
    <row r="668" spans="5:8">
      <c r="E668" s="400"/>
      <c r="F668" s="400"/>
      <c r="G668" s="400"/>
      <c r="H668" s="400"/>
    </row>
    <row r="669" spans="5:8">
      <c r="E669" s="400"/>
      <c r="F669" s="400"/>
      <c r="G669" s="400"/>
      <c r="H669" s="400"/>
    </row>
    <row r="670" spans="5:8">
      <c r="E670" s="400"/>
      <c r="F670" s="400"/>
      <c r="G670" s="400"/>
      <c r="H670" s="400"/>
    </row>
    <row r="671" spans="5:8">
      <c r="E671" s="400"/>
      <c r="F671" s="400"/>
      <c r="G671" s="400"/>
      <c r="H671" s="400"/>
    </row>
    <row r="672" spans="5:8">
      <c r="E672" s="400"/>
      <c r="F672" s="400"/>
      <c r="G672" s="400"/>
      <c r="H672" s="400"/>
    </row>
    <row r="673" spans="5:8">
      <c r="E673" s="400"/>
      <c r="F673" s="400"/>
      <c r="G673" s="400"/>
      <c r="H673" s="400"/>
    </row>
    <row r="674" spans="5:8">
      <c r="E674" s="400"/>
      <c r="F674" s="400"/>
      <c r="G674" s="400"/>
      <c r="H674" s="400"/>
    </row>
    <row r="675" spans="5:8">
      <c r="E675" s="400"/>
      <c r="F675" s="400"/>
      <c r="G675" s="400"/>
      <c r="H675" s="400"/>
    </row>
    <row r="676" spans="5:8">
      <c r="E676" s="400"/>
      <c r="F676" s="400"/>
      <c r="G676" s="400"/>
      <c r="H676" s="400"/>
    </row>
    <row r="677" spans="5:8">
      <c r="E677" s="400"/>
      <c r="F677" s="400"/>
      <c r="G677" s="400"/>
      <c r="H677" s="400"/>
    </row>
    <row r="678" spans="5:8">
      <c r="E678" s="400"/>
      <c r="F678" s="400"/>
      <c r="G678" s="400"/>
      <c r="H678" s="400"/>
    </row>
    <row r="679" spans="5:8">
      <c r="E679" s="400"/>
      <c r="F679" s="400"/>
      <c r="G679" s="400"/>
      <c r="H679" s="400"/>
    </row>
    <row r="680" spans="5:8">
      <c r="E680" s="400"/>
      <c r="F680" s="400"/>
      <c r="G680" s="400"/>
      <c r="H680" s="400"/>
    </row>
    <row r="681" spans="5:8">
      <c r="E681" s="400"/>
      <c r="F681" s="400"/>
      <c r="G681" s="400"/>
      <c r="H681" s="400"/>
    </row>
    <row r="682" spans="5:8">
      <c r="E682" s="400"/>
      <c r="F682" s="400"/>
      <c r="G682" s="400"/>
      <c r="H682" s="400"/>
    </row>
    <row r="683" spans="5:8">
      <c r="E683" s="400"/>
      <c r="F683" s="400"/>
      <c r="G683" s="400"/>
      <c r="H683" s="400"/>
    </row>
    <row r="684" spans="5:8">
      <c r="E684" s="400"/>
      <c r="F684" s="400"/>
      <c r="G684" s="400"/>
      <c r="H684" s="400"/>
    </row>
    <row r="685" spans="5:8">
      <c r="E685" s="400"/>
      <c r="F685" s="400"/>
      <c r="G685" s="400"/>
      <c r="H685" s="400"/>
    </row>
    <row r="686" spans="5:8">
      <c r="E686" s="400"/>
      <c r="F686" s="400"/>
      <c r="G686" s="400"/>
      <c r="H686" s="400"/>
    </row>
    <row r="687" spans="5:8">
      <c r="E687" s="400"/>
      <c r="F687" s="400"/>
      <c r="G687" s="400"/>
      <c r="H687" s="400"/>
    </row>
    <row r="688" spans="5:8">
      <c r="E688" s="400"/>
      <c r="F688" s="400"/>
      <c r="G688" s="400"/>
      <c r="H688" s="400"/>
    </row>
    <row r="689" spans="5:8">
      <c r="E689" s="400"/>
      <c r="F689" s="400"/>
      <c r="G689" s="400"/>
      <c r="H689" s="400"/>
    </row>
    <row r="690" spans="5:8">
      <c r="E690" s="400"/>
      <c r="F690" s="400"/>
      <c r="G690" s="400"/>
      <c r="H690" s="400"/>
    </row>
    <row r="691" spans="5:8">
      <c r="E691" s="400"/>
      <c r="F691" s="400"/>
      <c r="G691" s="400"/>
      <c r="H691" s="400"/>
    </row>
    <row r="692" spans="5:8">
      <c r="E692" s="400"/>
      <c r="F692" s="400"/>
      <c r="G692" s="400"/>
      <c r="H692" s="400"/>
    </row>
    <row r="693" spans="5:8">
      <c r="E693" s="400"/>
      <c r="F693" s="400"/>
      <c r="G693" s="400"/>
      <c r="H693" s="400"/>
    </row>
    <row r="694" spans="5:8">
      <c r="E694" s="400"/>
      <c r="F694" s="400"/>
      <c r="G694" s="400"/>
      <c r="H694" s="400"/>
    </row>
    <row r="695" spans="5:8">
      <c r="E695" s="400"/>
      <c r="F695" s="400"/>
      <c r="G695" s="400"/>
      <c r="H695" s="400"/>
    </row>
    <row r="696" spans="5:8">
      <c r="E696" s="400"/>
      <c r="F696" s="400"/>
      <c r="G696" s="400"/>
      <c r="H696" s="400"/>
    </row>
    <row r="697" spans="5:8">
      <c r="E697" s="400"/>
      <c r="F697" s="400"/>
      <c r="G697" s="400"/>
      <c r="H697" s="400"/>
    </row>
    <row r="698" spans="5:8">
      <c r="E698" s="400"/>
      <c r="F698" s="400"/>
      <c r="G698" s="400"/>
      <c r="H698" s="400"/>
    </row>
    <row r="699" spans="5:8">
      <c r="E699" s="400"/>
      <c r="F699" s="400"/>
      <c r="G699" s="400"/>
      <c r="H699" s="400"/>
    </row>
    <row r="700" spans="5:8">
      <c r="E700" s="400"/>
      <c r="F700" s="400"/>
      <c r="G700" s="400"/>
      <c r="H700" s="400"/>
    </row>
    <row r="701" spans="5:8">
      <c r="E701" s="400"/>
      <c r="F701" s="400"/>
      <c r="G701" s="400"/>
      <c r="H701" s="400"/>
    </row>
    <row r="702" spans="5:8">
      <c r="E702" s="400"/>
      <c r="F702" s="400"/>
      <c r="G702" s="400"/>
      <c r="H702" s="400"/>
    </row>
    <row r="703" spans="5:8">
      <c r="E703" s="400"/>
      <c r="F703" s="400"/>
      <c r="G703" s="400"/>
      <c r="H703" s="400"/>
    </row>
    <row r="704" spans="5:8">
      <c r="E704" s="400"/>
      <c r="F704" s="400"/>
      <c r="G704" s="400"/>
      <c r="H704" s="400"/>
    </row>
    <row r="705" spans="5:8">
      <c r="E705" s="400"/>
      <c r="F705" s="400"/>
      <c r="G705" s="400"/>
      <c r="H705" s="400"/>
    </row>
    <row r="706" spans="5:8">
      <c r="E706" s="400"/>
      <c r="F706" s="400"/>
      <c r="G706" s="400"/>
      <c r="H706" s="400"/>
    </row>
    <row r="707" spans="5:8">
      <c r="E707" s="400"/>
      <c r="F707" s="400"/>
      <c r="G707" s="400"/>
      <c r="H707" s="400"/>
    </row>
    <row r="708" spans="5:8">
      <c r="E708" s="400"/>
      <c r="F708" s="400"/>
      <c r="G708" s="400"/>
      <c r="H708" s="400"/>
    </row>
    <row r="709" spans="5:8">
      <c r="E709" s="400"/>
      <c r="F709" s="400"/>
      <c r="G709" s="400"/>
      <c r="H709" s="400"/>
    </row>
    <row r="710" spans="5:8">
      <c r="E710" s="400"/>
      <c r="F710" s="400"/>
      <c r="G710" s="400"/>
      <c r="H710" s="400"/>
    </row>
    <row r="711" spans="5:8">
      <c r="E711" s="400"/>
      <c r="F711" s="400"/>
      <c r="G711" s="400"/>
      <c r="H711" s="400"/>
    </row>
    <row r="712" spans="5:8">
      <c r="E712" s="400"/>
      <c r="F712" s="400"/>
      <c r="G712" s="400"/>
      <c r="H712" s="400"/>
    </row>
    <row r="713" spans="5:8">
      <c r="E713" s="400"/>
      <c r="F713" s="400"/>
      <c r="G713" s="400"/>
      <c r="H713" s="400"/>
    </row>
    <row r="714" spans="5:8">
      <c r="E714" s="400"/>
      <c r="F714" s="400"/>
      <c r="G714" s="400"/>
      <c r="H714" s="400"/>
    </row>
    <row r="715" spans="5:8">
      <c r="E715" s="400"/>
      <c r="F715" s="400"/>
      <c r="G715" s="400"/>
      <c r="H715" s="400"/>
    </row>
    <row r="716" spans="5:8">
      <c r="E716" s="400"/>
      <c r="F716" s="400"/>
      <c r="G716" s="400"/>
      <c r="H716" s="400"/>
    </row>
    <row r="717" spans="5:8">
      <c r="E717" s="400"/>
      <c r="F717" s="400"/>
      <c r="G717" s="400"/>
      <c r="H717" s="400"/>
    </row>
    <row r="718" spans="5:8">
      <c r="E718" s="400"/>
      <c r="F718" s="400"/>
      <c r="G718" s="400"/>
      <c r="H718" s="400"/>
    </row>
    <row r="719" spans="5:8">
      <c r="E719" s="400"/>
      <c r="F719" s="400"/>
      <c r="G719" s="400"/>
      <c r="H719" s="400"/>
    </row>
    <row r="720" spans="5:8">
      <c r="E720" s="400"/>
      <c r="F720" s="400"/>
      <c r="G720" s="400"/>
      <c r="H720" s="400"/>
    </row>
    <row r="721" spans="5:8">
      <c r="E721" s="400"/>
      <c r="F721" s="400"/>
      <c r="G721" s="400"/>
      <c r="H721" s="400"/>
    </row>
    <row r="722" spans="5:8">
      <c r="E722" s="400"/>
      <c r="F722" s="400"/>
      <c r="G722" s="400"/>
      <c r="H722" s="400"/>
    </row>
    <row r="723" spans="5:8">
      <c r="E723" s="400"/>
      <c r="F723" s="400"/>
      <c r="G723" s="400"/>
      <c r="H723" s="400"/>
    </row>
    <row r="724" spans="5:8">
      <c r="E724" s="400"/>
      <c r="F724" s="400"/>
      <c r="G724" s="400"/>
      <c r="H724" s="400"/>
    </row>
    <row r="725" spans="5:8">
      <c r="E725" s="400"/>
      <c r="F725" s="400"/>
      <c r="G725" s="400"/>
      <c r="H725" s="400"/>
    </row>
    <row r="726" spans="5:8">
      <c r="E726" s="400"/>
      <c r="F726" s="400"/>
      <c r="G726" s="400"/>
      <c r="H726" s="400"/>
    </row>
    <row r="727" spans="5:8">
      <c r="E727" s="400"/>
      <c r="F727" s="400"/>
      <c r="G727" s="400"/>
      <c r="H727" s="400"/>
    </row>
    <row r="728" spans="5:8">
      <c r="E728" s="400"/>
      <c r="F728" s="400"/>
      <c r="G728" s="400"/>
      <c r="H728" s="400"/>
    </row>
    <row r="729" spans="5:8">
      <c r="E729" s="400"/>
      <c r="F729" s="400"/>
      <c r="G729" s="400"/>
      <c r="H729" s="400"/>
    </row>
    <row r="730" spans="5:8">
      <c r="E730" s="400"/>
      <c r="F730" s="400"/>
      <c r="G730" s="400"/>
      <c r="H730" s="400"/>
    </row>
    <row r="731" spans="5:8">
      <c r="E731" s="400"/>
      <c r="F731" s="400"/>
      <c r="G731" s="400"/>
      <c r="H731" s="400"/>
    </row>
    <row r="732" spans="5:8">
      <c r="E732" s="400"/>
      <c r="F732" s="400"/>
      <c r="G732" s="400"/>
      <c r="H732" s="400"/>
    </row>
    <row r="733" spans="5:8">
      <c r="E733" s="400"/>
      <c r="F733" s="400"/>
      <c r="G733" s="400"/>
      <c r="H733" s="400"/>
    </row>
    <row r="734" spans="5:8">
      <c r="E734" s="400"/>
      <c r="F734" s="400"/>
      <c r="G734" s="400"/>
      <c r="H734" s="400"/>
    </row>
    <row r="735" spans="5:8">
      <c r="E735" s="400"/>
      <c r="F735" s="400"/>
      <c r="G735" s="400"/>
      <c r="H735" s="400"/>
    </row>
    <row r="736" spans="5:8">
      <c r="E736" s="400"/>
      <c r="F736" s="400"/>
      <c r="G736" s="400"/>
      <c r="H736" s="400"/>
    </row>
    <row r="737" spans="5:8">
      <c r="E737" s="400"/>
      <c r="F737" s="400"/>
      <c r="G737" s="400"/>
      <c r="H737" s="400"/>
    </row>
    <row r="738" spans="5:8">
      <c r="E738" s="400"/>
      <c r="F738" s="400"/>
      <c r="G738" s="400"/>
      <c r="H738" s="400"/>
    </row>
    <row r="739" spans="5:8">
      <c r="E739" s="400"/>
      <c r="F739" s="400"/>
      <c r="G739" s="400"/>
      <c r="H739" s="400"/>
    </row>
    <row r="740" spans="5:8">
      <c r="E740" s="400"/>
      <c r="F740" s="400"/>
      <c r="G740" s="400"/>
      <c r="H740" s="400"/>
    </row>
    <row r="741" spans="5:8">
      <c r="E741" s="400"/>
      <c r="F741" s="400"/>
      <c r="G741" s="400"/>
      <c r="H741" s="400"/>
    </row>
    <row r="742" spans="5:8">
      <c r="E742" s="400"/>
      <c r="F742" s="400"/>
      <c r="G742" s="400"/>
      <c r="H742" s="400"/>
    </row>
    <row r="743" spans="5:8">
      <c r="E743" s="400"/>
      <c r="F743" s="400"/>
      <c r="G743" s="400"/>
      <c r="H743" s="400"/>
    </row>
    <row r="744" spans="5:8">
      <c r="E744" s="400"/>
      <c r="F744" s="400"/>
      <c r="G744" s="400"/>
      <c r="H744" s="400"/>
    </row>
    <row r="745" spans="5:8">
      <c r="E745" s="400"/>
      <c r="F745" s="400"/>
      <c r="G745" s="400"/>
      <c r="H745" s="400"/>
    </row>
    <row r="746" spans="5:8">
      <c r="E746" s="400"/>
      <c r="F746" s="400"/>
      <c r="G746" s="400"/>
      <c r="H746" s="400"/>
    </row>
    <row r="747" spans="5:8">
      <c r="E747" s="400"/>
      <c r="F747" s="400"/>
      <c r="G747" s="400"/>
      <c r="H747" s="400"/>
    </row>
    <row r="748" spans="5:8">
      <c r="E748" s="400"/>
      <c r="F748" s="400"/>
      <c r="G748" s="400"/>
      <c r="H748" s="400"/>
    </row>
    <row r="749" spans="5:8">
      <c r="E749" s="400"/>
      <c r="F749" s="400"/>
      <c r="G749" s="400"/>
      <c r="H749" s="400"/>
    </row>
    <row r="750" spans="5:8">
      <c r="E750" s="400"/>
      <c r="F750" s="400"/>
      <c r="G750" s="400"/>
      <c r="H750" s="400"/>
    </row>
    <row r="751" spans="5:8">
      <c r="E751" s="400"/>
      <c r="F751" s="400"/>
      <c r="G751" s="400"/>
      <c r="H751" s="400"/>
    </row>
    <row r="752" spans="5:8">
      <c r="E752" s="400"/>
      <c r="F752" s="400"/>
      <c r="G752" s="400"/>
      <c r="H752" s="400"/>
    </row>
    <row r="753" spans="5:8">
      <c r="E753" s="400"/>
      <c r="F753" s="400"/>
      <c r="G753" s="400"/>
      <c r="H753" s="400"/>
    </row>
    <row r="754" spans="5:8">
      <c r="E754" s="400"/>
      <c r="F754" s="400"/>
      <c r="G754" s="400"/>
      <c r="H754" s="400"/>
    </row>
    <row r="755" spans="5:8">
      <c r="E755" s="400"/>
      <c r="F755" s="400"/>
      <c r="G755" s="400"/>
      <c r="H755" s="400"/>
    </row>
    <row r="756" spans="5:8">
      <c r="E756" s="400"/>
      <c r="F756" s="400"/>
      <c r="G756" s="400"/>
      <c r="H756" s="400"/>
    </row>
    <row r="757" spans="5:8">
      <c r="E757" s="400"/>
      <c r="F757" s="400"/>
      <c r="G757" s="400"/>
      <c r="H757" s="400"/>
    </row>
    <row r="758" spans="5:8">
      <c r="E758" s="400"/>
      <c r="F758" s="400"/>
      <c r="G758" s="400"/>
      <c r="H758" s="400"/>
    </row>
    <row r="759" spans="5:8">
      <c r="E759" s="400"/>
      <c r="F759" s="400"/>
      <c r="G759" s="400"/>
      <c r="H759" s="400"/>
    </row>
    <row r="760" spans="5:8">
      <c r="E760" s="400"/>
      <c r="F760" s="400"/>
      <c r="G760" s="400"/>
      <c r="H760" s="400"/>
    </row>
    <row r="761" spans="5:8">
      <c r="E761" s="400"/>
      <c r="F761" s="400"/>
      <c r="G761" s="400"/>
      <c r="H761" s="400"/>
    </row>
    <row r="762" spans="5:8">
      <c r="E762" s="400"/>
      <c r="F762" s="400"/>
      <c r="G762" s="400"/>
      <c r="H762" s="400"/>
    </row>
    <row r="763" spans="5:8">
      <c r="E763" s="400"/>
      <c r="F763" s="400"/>
      <c r="G763" s="400"/>
      <c r="H763" s="400"/>
    </row>
    <row r="764" spans="5:8">
      <c r="E764" s="400"/>
      <c r="F764" s="400"/>
      <c r="G764" s="400"/>
      <c r="H764" s="400"/>
    </row>
    <row r="765" spans="5:8">
      <c r="E765" s="400"/>
      <c r="F765" s="400"/>
      <c r="G765" s="400"/>
      <c r="H765" s="400"/>
    </row>
    <row r="766" spans="5:8">
      <c r="E766" s="400"/>
      <c r="F766" s="400"/>
      <c r="G766" s="400"/>
      <c r="H766" s="400"/>
    </row>
    <row r="767" spans="5:8">
      <c r="E767" s="400"/>
      <c r="F767" s="400"/>
      <c r="G767" s="400"/>
      <c r="H767" s="400"/>
    </row>
    <row r="768" spans="5:8">
      <c r="E768" s="400"/>
      <c r="F768" s="400"/>
      <c r="G768" s="400"/>
      <c r="H768" s="400"/>
    </row>
    <row r="769" spans="5:8">
      <c r="E769" s="400"/>
      <c r="F769" s="400"/>
      <c r="G769" s="400"/>
      <c r="H769" s="400"/>
    </row>
    <row r="770" spans="5:8">
      <c r="E770" s="400"/>
      <c r="F770" s="400"/>
      <c r="G770" s="400"/>
      <c r="H770" s="400"/>
    </row>
    <row r="771" spans="5:8">
      <c r="E771" s="400"/>
      <c r="F771" s="400"/>
      <c r="G771" s="400"/>
      <c r="H771" s="400"/>
    </row>
    <row r="772" spans="5:8">
      <c r="E772" s="400"/>
      <c r="F772" s="400"/>
      <c r="G772" s="400"/>
      <c r="H772" s="400"/>
    </row>
    <row r="773" spans="5:8">
      <c r="E773" s="400"/>
      <c r="F773" s="400"/>
      <c r="G773" s="400"/>
      <c r="H773" s="400"/>
    </row>
    <row r="774" spans="5:8">
      <c r="E774" s="400"/>
      <c r="F774" s="400"/>
      <c r="G774" s="400"/>
      <c r="H774" s="400"/>
    </row>
    <row r="775" spans="5:8">
      <c r="E775" s="400"/>
      <c r="F775" s="400"/>
      <c r="G775" s="400"/>
      <c r="H775" s="400"/>
    </row>
    <row r="776" spans="5:8">
      <c r="E776" s="400"/>
      <c r="F776" s="400"/>
      <c r="G776" s="400"/>
      <c r="H776" s="400"/>
    </row>
    <row r="777" spans="5:8">
      <c r="E777" s="400"/>
      <c r="F777" s="400"/>
      <c r="G777" s="400"/>
      <c r="H777" s="400"/>
    </row>
    <row r="778" spans="5:8">
      <c r="E778" s="400"/>
      <c r="F778" s="400"/>
      <c r="G778" s="400"/>
      <c r="H778" s="400"/>
    </row>
    <row r="779" spans="5:8">
      <c r="E779" s="400"/>
      <c r="F779" s="400"/>
      <c r="G779" s="400"/>
      <c r="H779" s="400"/>
    </row>
    <row r="780" spans="5:8">
      <c r="E780" s="400"/>
      <c r="F780" s="400"/>
      <c r="G780" s="400"/>
      <c r="H780" s="400"/>
    </row>
    <row r="781" spans="5:8">
      <c r="E781" s="400"/>
      <c r="F781" s="400"/>
      <c r="G781" s="400"/>
      <c r="H781" s="400"/>
    </row>
    <row r="782" spans="5:8">
      <c r="E782" s="400"/>
      <c r="F782" s="400"/>
      <c r="G782" s="400"/>
      <c r="H782" s="400"/>
    </row>
    <row r="783" spans="5:8">
      <c r="E783" s="400"/>
      <c r="F783" s="400"/>
      <c r="G783" s="400"/>
      <c r="H783" s="400"/>
    </row>
    <row r="784" spans="5:8">
      <c r="E784" s="400"/>
      <c r="F784" s="400"/>
      <c r="G784" s="400"/>
      <c r="H784" s="400"/>
    </row>
    <row r="785" spans="5:8">
      <c r="E785" s="400"/>
      <c r="F785" s="400"/>
      <c r="G785" s="400"/>
      <c r="H785" s="400"/>
    </row>
    <row r="786" spans="5:8">
      <c r="E786" s="400"/>
      <c r="F786" s="400"/>
      <c r="G786" s="400"/>
      <c r="H786" s="400"/>
    </row>
    <row r="787" spans="5:8">
      <c r="E787" s="400"/>
      <c r="F787" s="400"/>
      <c r="G787" s="400"/>
      <c r="H787" s="400"/>
    </row>
    <row r="788" spans="5:8">
      <c r="E788" s="400"/>
      <c r="F788" s="400"/>
      <c r="G788" s="400"/>
      <c r="H788" s="400"/>
    </row>
    <row r="789" spans="5:8">
      <c r="E789" s="400"/>
      <c r="F789" s="400"/>
      <c r="G789" s="400"/>
      <c r="H789" s="400"/>
    </row>
    <row r="790" spans="5:8">
      <c r="E790" s="400"/>
      <c r="F790" s="400"/>
      <c r="G790" s="400"/>
      <c r="H790" s="400"/>
    </row>
    <row r="791" spans="5:8">
      <c r="E791" s="400"/>
      <c r="F791" s="400"/>
      <c r="G791" s="400"/>
      <c r="H791" s="400"/>
    </row>
    <row r="792" spans="5:8">
      <c r="E792" s="400"/>
      <c r="F792" s="400"/>
      <c r="G792" s="400"/>
      <c r="H792" s="400"/>
    </row>
    <row r="793" spans="5:8">
      <c r="E793" s="400"/>
      <c r="F793" s="400"/>
      <c r="G793" s="400"/>
      <c r="H793" s="400"/>
    </row>
    <row r="794" spans="5:8">
      <c r="E794" s="400"/>
      <c r="F794" s="400"/>
      <c r="G794" s="400"/>
      <c r="H794" s="400"/>
    </row>
    <row r="795" spans="5:8">
      <c r="E795" s="400"/>
      <c r="F795" s="400"/>
      <c r="G795" s="400"/>
      <c r="H795" s="400"/>
    </row>
    <row r="796" spans="5:8">
      <c r="E796" s="400"/>
      <c r="F796" s="400"/>
      <c r="G796" s="400"/>
      <c r="H796" s="400"/>
    </row>
    <row r="797" spans="5:8">
      <c r="E797" s="400"/>
      <c r="F797" s="400"/>
      <c r="G797" s="400"/>
      <c r="H797" s="400"/>
    </row>
    <row r="798" spans="5:8">
      <c r="E798" s="400"/>
      <c r="F798" s="400"/>
      <c r="G798" s="400"/>
      <c r="H798" s="400"/>
    </row>
    <row r="799" spans="5:8">
      <c r="E799" s="400"/>
      <c r="F799" s="400"/>
      <c r="G799" s="400"/>
      <c r="H799" s="400"/>
    </row>
    <row r="800" spans="5:8">
      <c r="E800" s="400"/>
      <c r="F800" s="400"/>
      <c r="G800" s="400"/>
      <c r="H800" s="400"/>
    </row>
    <row r="801" spans="5:8">
      <c r="E801" s="400"/>
      <c r="F801" s="400"/>
      <c r="G801" s="400"/>
      <c r="H801" s="400"/>
    </row>
    <row r="802" spans="5:8">
      <c r="E802" s="400"/>
      <c r="F802" s="400"/>
      <c r="G802" s="400"/>
      <c r="H802" s="400"/>
    </row>
    <row r="803" spans="5:8">
      <c r="E803" s="400"/>
      <c r="F803" s="400"/>
      <c r="G803" s="400"/>
      <c r="H803" s="400"/>
    </row>
    <row r="804" spans="5:8">
      <c r="E804" s="400"/>
      <c r="F804" s="400"/>
      <c r="G804" s="400"/>
      <c r="H804" s="400"/>
    </row>
    <row r="805" spans="5:8">
      <c r="E805" s="400"/>
      <c r="F805" s="400"/>
      <c r="G805" s="400"/>
      <c r="H805" s="400"/>
    </row>
    <row r="806" spans="5:8">
      <c r="E806" s="400"/>
      <c r="F806" s="400"/>
      <c r="G806" s="400"/>
      <c r="H806" s="400"/>
    </row>
    <row r="807" spans="5:8">
      <c r="E807" s="400"/>
      <c r="F807" s="400"/>
      <c r="G807" s="400"/>
      <c r="H807" s="400"/>
    </row>
    <row r="808" spans="5:8">
      <c r="E808" s="400"/>
      <c r="F808" s="400"/>
      <c r="G808" s="400"/>
      <c r="H808" s="400"/>
    </row>
    <row r="809" spans="5:8">
      <c r="E809" s="400"/>
      <c r="F809" s="400"/>
      <c r="G809" s="400"/>
      <c r="H809" s="400"/>
    </row>
    <row r="810" spans="5:8">
      <c r="E810" s="400"/>
      <c r="F810" s="400"/>
      <c r="G810" s="400"/>
      <c r="H810" s="400"/>
    </row>
    <row r="811" spans="5:8">
      <c r="E811" s="400"/>
      <c r="F811" s="400"/>
      <c r="G811" s="400"/>
      <c r="H811" s="400"/>
    </row>
    <row r="812" spans="5:8">
      <c r="E812" s="400"/>
      <c r="F812" s="400"/>
      <c r="G812" s="400"/>
      <c r="H812" s="400"/>
    </row>
    <row r="813" spans="5:8">
      <c r="E813" s="400"/>
      <c r="F813" s="400"/>
      <c r="G813" s="400"/>
      <c r="H813" s="400"/>
    </row>
    <row r="814" spans="5:8">
      <c r="E814" s="400"/>
      <c r="F814" s="400"/>
      <c r="G814" s="400"/>
      <c r="H814" s="400"/>
    </row>
    <row r="815" spans="5:8">
      <c r="E815" s="400"/>
      <c r="F815" s="400"/>
      <c r="G815" s="400"/>
      <c r="H815" s="400"/>
    </row>
    <row r="816" spans="5:8">
      <c r="E816" s="400"/>
      <c r="F816" s="400"/>
      <c r="G816" s="400"/>
      <c r="H816" s="400"/>
    </row>
    <row r="817" spans="5:8">
      <c r="E817" s="400"/>
      <c r="F817" s="400"/>
      <c r="G817" s="400"/>
      <c r="H817" s="400"/>
    </row>
    <row r="818" spans="5:8">
      <c r="E818" s="400"/>
      <c r="F818" s="400"/>
      <c r="G818" s="400"/>
      <c r="H818" s="400"/>
    </row>
    <row r="819" spans="5:8">
      <c r="E819" s="400"/>
      <c r="F819" s="400"/>
      <c r="G819" s="400"/>
      <c r="H819" s="400"/>
    </row>
    <row r="820" spans="5:8">
      <c r="E820" s="400"/>
      <c r="F820" s="400"/>
      <c r="G820" s="400"/>
      <c r="H820" s="400"/>
    </row>
    <row r="821" spans="5:8">
      <c r="E821" s="400"/>
      <c r="F821" s="400"/>
      <c r="G821" s="400"/>
      <c r="H821" s="400"/>
    </row>
    <row r="822" spans="5:8">
      <c r="E822" s="400"/>
      <c r="F822" s="400"/>
      <c r="G822" s="400"/>
      <c r="H822" s="400"/>
    </row>
    <row r="823" spans="5:8">
      <c r="E823" s="400"/>
      <c r="F823" s="400"/>
      <c r="G823" s="400"/>
      <c r="H823" s="400"/>
    </row>
    <row r="824" spans="5:8">
      <c r="E824" s="400"/>
      <c r="F824" s="400"/>
      <c r="G824" s="400"/>
      <c r="H824" s="400"/>
    </row>
    <row r="825" spans="5:8">
      <c r="E825" s="400"/>
      <c r="F825" s="400"/>
      <c r="G825" s="400"/>
      <c r="H825" s="400"/>
    </row>
    <row r="826" spans="5:8">
      <c r="E826" s="400"/>
      <c r="F826" s="400"/>
      <c r="G826" s="400"/>
      <c r="H826" s="400"/>
    </row>
    <row r="827" spans="5:8">
      <c r="E827" s="400"/>
      <c r="F827" s="400"/>
      <c r="G827" s="400"/>
      <c r="H827" s="400"/>
    </row>
    <row r="828" spans="5:8">
      <c r="E828" s="400"/>
      <c r="F828" s="400"/>
      <c r="G828" s="400"/>
      <c r="H828" s="400"/>
    </row>
    <row r="829" spans="5:8">
      <c r="E829" s="400"/>
      <c r="F829" s="400"/>
      <c r="G829" s="400"/>
      <c r="H829" s="400"/>
    </row>
    <row r="830" spans="5:8">
      <c r="E830" s="400"/>
      <c r="F830" s="400"/>
      <c r="G830" s="400"/>
      <c r="H830" s="400"/>
    </row>
    <row r="831" spans="5:8">
      <c r="E831" s="400"/>
      <c r="F831" s="400"/>
      <c r="G831" s="400"/>
      <c r="H831" s="400"/>
    </row>
    <row r="832" spans="5:8">
      <c r="E832" s="400"/>
      <c r="F832" s="400"/>
      <c r="G832" s="400"/>
      <c r="H832" s="400"/>
    </row>
    <row r="833" spans="5:8">
      <c r="E833" s="400"/>
      <c r="F833" s="400"/>
      <c r="G833" s="400"/>
      <c r="H833" s="400"/>
    </row>
    <row r="834" spans="5:8">
      <c r="E834" s="400"/>
      <c r="F834" s="400"/>
      <c r="G834" s="400"/>
      <c r="H834" s="400"/>
    </row>
    <row r="835" spans="5:8">
      <c r="E835" s="400"/>
      <c r="F835" s="400"/>
      <c r="G835" s="400"/>
      <c r="H835" s="400"/>
    </row>
    <row r="836" spans="5:8">
      <c r="E836" s="400"/>
      <c r="F836" s="400"/>
      <c r="G836" s="400"/>
      <c r="H836" s="400"/>
    </row>
    <row r="837" spans="5:8">
      <c r="E837" s="400"/>
      <c r="F837" s="400"/>
      <c r="G837" s="400"/>
      <c r="H837" s="400"/>
    </row>
    <row r="838" spans="5:8">
      <c r="E838" s="400"/>
      <c r="F838" s="400"/>
      <c r="G838" s="400"/>
      <c r="H838" s="400"/>
    </row>
    <row r="839" spans="5:8">
      <c r="E839" s="400"/>
      <c r="F839" s="400"/>
      <c r="G839" s="400"/>
      <c r="H839" s="400"/>
    </row>
    <row r="840" spans="5:8">
      <c r="E840" s="400"/>
      <c r="F840" s="400"/>
      <c r="G840" s="400"/>
      <c r="H840" s="400"/>
    </row>
    <row r="841" spans="5:8">
      <c r="E841" s="400"/>
      <c r="F841" s="400"/>
      <c r="G841" s="400"/>
      <c r="H841" s="400"/>
    </row>
    <row r="842" spans="5:8">
      <c r="E842" s="400"/>
      <c r="F842" s="400"/>
      <c r="G842" s="400"/>
      <c r="H842" s="400"/>
    </row>
    <row r="843" spans="5:8">
      <c r="E843" s="400"/>
      <c r="F843" s="400"/>
      <c r="G843" s="400"/>
      <c r="H843" s="400"/>
    </row>
    <row r="844" spans="5:8">
      <c r="E844" s="400"/>
      <c r="F844" s="400"/>
      <c r="G844" s="400"/>
      <c r="H844" s="400"/>
    </row>
    <row r="845" spans="5:8">
      <c r="E845" s="400"/>
      <c r="F845" s="400"/>
      <c r="G845" s="400"/>
      <c r="H845" s="400"/>
    </row>
    <row r="846" spans="5:8">
      <c r="E846" s="400"/>
      <c r="F846" s="400"/>
      <c r="G846" s="400"/>
      <c r="H846" s="400"/>
    </row>
    <row r="847" spans="5:8">
      <c r="E847" s="400"/>
      <c r="F847" s="400"/>
      <c r="G847" s="400"/>
      <c r="H847" s="400"/>
    </row>
    <row r="848" spans="5:8">
      <c r="E848" s="400"/>
      <c r="F848" s="400"/>
      <c r="G848" s="400"/>
      <c r="H848" s="400"/>
    </row>
    <row r="849" spans="5:8">
      <c r="E849" s="400"/>
      <c r="F849" s="400"/>
      <c r="G849" s="400"/>
      <c r="H849" s="400"/>
    </row>
    <row r="850" spans="5:8">
      <c r="E850" s="400"/>
      <c r="F850" s="400"/>
      <c r="G850" s="400"/>
      <c r="H850" s="400"/>
    </row>
    <row r="851" spans="5:8">
      <c r="E851" s="400"/>
      <c r="F851" s="400"/>
      <c r="G851" s="400"/>
      <c r="H851" s="400"/>
    </row>
    <row r="852" spans="5:8">
      <c r="E852" s="400"/>
      <c r="F852" s="400"/>
      <c r="G852" s="400"/>
      <c r="H852" s="400"/>
    </row>
    <row r="853" spans="5:8">
      <c r="E853" s="400"/>
      <c r="F853" s="400"/>
      <c r="G853" s="400"/>
      <c r="H853" s="400"/>
    </row>
    <row r="854" spans="5:8">
      <c r="E854" s="400"/>
      <c r="F854" s="400"/>
      <c r="G854" s="400"/>
      <c r="H854" s="400"/>
    </row>
    <row r="855" spans="5:8">
      <c r="E855" s="400"/>
      <c r="F855" s="400"/>
      <c r="G855" s="400"/>
      <c r="H855" s="400"/>
    </row>
    <row r="856" spans="5:8">
      <c r="E856" s="400"/>
      <c r="F856" s="400"/>
      <c r="G856" s="400"/>
      <c r="H856" s="400"/>
    </row>
    <row r="857" spans="5:8">
      <c r="E857" s="400"/>
      <c r="F857" s="400"/>
      <c r="G857" s="400"/>
      <c r="H857" s="400"/>
    </row>
    <row r="858" spans="5:8">
      <c r="E858" s="400"/>
      <c r="F858" s="400"/>
      <c r="G858" s="400"/>
      <c r="H858" s="400"/>
    </row>
    <row r="859" spans="5:8">
      <c r="E859" s="400"/>
      <c r="F859" s="400"/>
      <c r="G859" s="400"/>
      <c r="H859" s="400"/>
    </row>
    <row r="860" spans="5:8">
      <c r="E860" s="400"/>
      <c r="F860" s="400"/>
      <c r="G860" s="400"/>
      <c r="H860" s="400"/>
    </row>
    <row r="861" spans="5:8">
      <c r="E861" s="400"/>
      <c r="F861" s="400"/>
      <c r="G861" s="400"/>
      <c r="H861" s="400"/>
    </row>
    <row r="862" spans="5:8">
      <c r="E862" s="400"/>
      <c r="F862" s="400"/>
      <c r="G862" s="400"/>
      <c r="H862" s="400"/>
    </row>
    <row r="863" spans="5:8">
      <c r="E863" s="400"/>
      <c r="F863" s="400"/>
      <c r="G863" s="400"/>
      <c r="H863" s="400"/>
    </row>
    <row r="864" spans="5:8">
      <c r="E864" s="400"/>
      <c r="F864" s="400"/>
      <c r="G864" s="400"/>
      <c r="H864" s="400"/>
    </row>
    <row r="865" spans="5:8">
      <c r="E865" s="400"/>
      <c r="F865" s="400"/>
      <c r="G865" s="400"/>
      <c r="H865" s="400"/>
    </row>
    <row r="866" spans="5:8">
      <c r="E866" s="400"/>
      <c r="F866" s="400"/>
      <c r="G866" s="400"/>
      <c r="H866" s="400"/>
    </row>
    <row r="867" spans="5:8">
      <c r="E867" s="400"/>
      <c r="F867" s="400"/>
      <c r="G867" s="400"/>
      <c r="H867" s="400"/>
    </row>
    <row r="868" spans="5:8">
      <c r="E868" s="400"/>
      <c r="F868" s="400"/>
      <c r="G868" s="400"/>
      <c r="H868" s="400"/>
    </row>
    <row r="869" spans="5:8">
      <c r="E869" s="400"/>
      <c r="F869" s="400"/>
      <c r="G869" s="400"/>
      <c r="H869" s="400"/>
    </row>
    <row r="870" spans="5:8">
      <c r="E870" s="400"/>
      <c r="F870" s="400"/>
      <c r="G870" s="400"/>
      <c r="H870" s="400"/>
    </row>
    <row r="871" spans="5:8">
      <c r="E871" s="400"/>
      <c r="F871" s="400"/>
      <c r="G871" s="400"/>
      <c r="H871" s="400"/>
    </row>
    <row r="872" spans="5:8">
      <c r="E872" s="400"/>
      <c r="F872" s="400"/>
      <c r="G872" s="400"/>
      <c r="H872" s="400"/>
    </row>
    <row r="873" spans="5:8">
      <c r="E873" s="400"/>
      <c r="F873" s="400"/>
      <c r="G873" s="400"/>
      <c r="H873" s="400"/>
    </row>
    <row r="874" spans="5:8">
      <c r="E874" s="400"/>
      <c r="F874" s="400"/>
      <c r="G874" s="400"/>
      <c r="H874" s="400"/>
    </row>
    <row r="875" spans="5:8">
      <c r="E875" s="400"/>
      <c r="F875" s="400"/>
      <c r="G875" s="400"/>
      <c r="H875" s="400"/>
    </row>
    <row r="876" spans="5:8">
      <c r="E876" s="400"/>
      <c r="F876" s="400"/>
      <c r="G876" s="400"/>
      <c r="H876" s="400"/>
    </row>
    <row r="877" spans="5:8">
      <c r="E877" s="400"/>
      <c r="F877" s="400"/>
      <c r="G877" s="400"/>
      <c r="H877" s="400"/>
    </row>
    <row r="878" spans="5:8">
      <c r="E878" s="400"/>
      <c r="F878" s="400"/>
      <c r="G878" s="400"/>
      <c r="H878" s="400"/>
    </row>
    <row r="879" spans="5:8">
      <c r="E879" s="400"/>
      <c r="F879" s="400"/>
      <c r="G879" s="400"/>
      <c r="H879" s="400"/>
    </row>
    <row r="880" spans="5:8">
      <c r="E880" s="400"/>
      <c r="F880" s="400"/>
      <c r="G880" s="400"/>
      <c r="H880" s="400"/>
    </row>
    <row r="881" spans="5:8">
      <c r="E881" s="400"/>
      <c r="F881" s="400"/>
      <c r="G881" s="400"/>
      <c r="H881" s="400"/>
    </row>
    <row r="882" spans="5:8">
      <c r="E882" s="400"/>
      <c r="F882" s="400"/>
      <c r="G882" s="400"/>
      <c r="H882" s="400"/>
    </row>
    <row r="883" spans="5:8">
      <c r="E883" s="400"/>
      <c r="F883" s="400"/>
      <c r="G883" s="400"/>
      <c r="H883" s="400"/>
    </row>
    <row r="884" spans="5:8">
      <c r="E884" s="400"/>
      <c r="F884" s="400"/>
      <c r="G884" s="400"/>
      <c r="H884" s="400"/>
    </row>
    <row r="885" spans="5:8">
      <c r="E885" s="400"/>
      <c r="F885" s="400"/>
      <c r="G885" s="400"/>
      <c r="H885" s="400"/>
    </row>
    <row r="886" spans="5:8">
      <c r="E886" s="400"/>
      <c r="F886" s="400"/>
      <c r="G886" s="400"/>
      <c r="H886" s="400"/>
    </row>
    <row r="887" spans="5:8">
      <c r="E887" s="400"/>
      <c r="F887" s="400"/>
      <c r="G887" s="400"/>
      <c r="H887" s="400"/>
    </row>
    <row r="888" spans="5:8">
      <c r="E888" s="400"/>
      <c r="F888" s="400"/>
      <c r="G888" s="400"/>
      <c r="H888" s="400"/>
    </row>
    <row r="889" spans="5:8">
      <c r="E889" s="400"/>
      <c r="F889" s="400"/>
      <c r="G889" s="400"/>
      <c r="H889" s="400"/>
    </row>
    <row r="890" spans="5:8">
      <c r="E890" s="400"/>
      <c r="F890" s="400"/>
      <c r="G890" s="400"/>
      <c r="H890" s="400"/>
    </row>
    <row r="891" spans="5:8">
      <c r="E891" s="400"/>
      <c r="F891" s="400"/>
      <c r="G891" s="400"/>
      <c r="H891" s="400"/>
    </row>
    <row r="892" spans="5:8">
      <c r="E892" s="400"/>
      <c r="F892" s="400"/>
      <c r="G892" s="400"/>
      <c r="H892" s="400"/>
    </row>
    <row r="893" spans="5:8">
      <c r="E893" s="400"/>
      <c r="F893" s="400"/>
      <c r="G893" s="400"/>
      <c r="H893" s="400"/>
    </row>
    <row r="894" spans="5:8">
      <c r="E894" s="400"/>
      <c r="F894" s="400"/>
      <c r="G894" s="400"/>
      <c r="H894" s="400"/>
    </row>
    <row r="895" spans="5:8">
      <c r="E895" s="400"/>
      <c r="F895" s="400"/>
      <c r="G895" s="400"/>
      <c r="H895" s="400"/>
    </row>
    <row r="896" spans="5:8">
      <c r="E896" s="400"/>
      <c r="F896" s="400"/>
      <c r="G896" s="400"/>
      <c r="H896" s="400"/>
    </row>
    <row r="897" spans="5:8">
      <c r="E897" s="400"/>
      <c r="F897" s="400"/>
      <c r="G897" s="400"/>
      <c r="H897" s="400"/>
    </row>
    <row r="898" spans="5:8">
      <c r="E898" s="400"/>
      <c r="F898" s="400"/>
      <c r="G898" s="400"/>
      <c r="H898" s="400"/>
    </row>
    <row r="899" spans="5:8">
      <c r="E899" s="400"/>
      <c r="F899" s="400"/>
      <c r="G899" s="400"/>
      <c r="H899" s="400"/>
    </row>
    <row r="900" spans="5:8">
      <c r="E900" s="400"/>
      <c r="F900" s="400"/>
      <c r="G900" s="400"/>
      <c r="H900" s="400"/>
    </row>
    <row r="901" spans="5:8">
      <c r="E901" s="400"/>
      <c r="F901" s="400"/>
      <c r="G901" s="400"/>
      <c r="H901" s="400"/>
    </row>
    <row r="902" spans="5:8">
      <c r="E902" s="400"/>
      <c r="F902" s="400"/>
      <c r="G902" s="400"/>
      <c r="H902" s="400"/>
    </row>
    <row r="903" spans="5:8">
      <c r="E903" s="400"/>
      <c r="F903" s="400"/>
      <c r="G903" s="400"/>
      <c r="H903" s="400"/>
    </row>
    <row r="904" spans="5:8">
      <c r="E904" s="400"/>
      <c r="F904" s="400"/>
      <c r="G904" s="400"/>
      <c r="H904" s="400"/>
    </row>
    <row r="905" spans="5:8">
      <c r="E905" s="400"/>
      <c r="F905" s="400"/>
      <c r="G905" s="400"/>
      <c r="H905" s="400"/>
    </row>
    <row r="906" spans="5:8">
      <c r="E906" s="400"/>
      <c r="F906" s="400"/>
      <c r="G906" s="400"/>
      <c r="H906" s="400"/>
    </row>
    <row r="907" spans="5:8">
      <c r="E907" s="400"/>
      <c r="F907" s="400"/>
      <c r="G907" s="400"/>
      <c r="H907" s="400"/>
    </row>
    <row r="908" spans="5:8">
      <c r="E908" s="400"/>
      <c r="F908" s="400"/>
      <c r="G908" s="400"/>
      <c r="H908" s="400"/>
    </row>
    <row r="909" spans="5:8">
      <c r="E909" s="400"/>
      <c r="F909" s="400"/>
      <c r="G909" s="400"/>
      <c r="H909" s="400"/>
    </row>
    <row r="910" spans="5:8">
      <c r="E910" s="400"/>
      <c r="F910" s="400"/>
      <c r="G910" s="400"/>
      <c r="H910" s="400"/>
    </row>
    <row r="911" spans="5:8">
      <c r="E911" s="400"/>
      <c r="F911" s="400"/>
      <c r="G911" s="400"/>
      <c r="H911" s="400"/>
    </row>
    <row r="912" spans="5:8">
      <c r="E912" s="400"/>
      <c r="F912" s="400"/>
      <c r="G912" s="400"/>
      <c r="H912" s="400"/>
    </row>
    <row r="913" spans="5:8">
      <c r="E913" s="400"/>
      <c r="F913" s="400"/>
      <c r="G913" s="400"/>
      <c r="H913" s="400"/>
    </row>
    <row r="914" spans="5:8">
      <c r="E914" s="400"/>
      <c r="F914" s="400"/>
      <c r="G914" s="400"/>
      <c r="H914" s="400"/>
    </row>
    <row r="915" spans="5:8">
      <c r="E915" s="400"/>
      <c r="F915" s="400"/>
      <c r="G915" s="400"/>
      <c r="H915" s="400"/>
    </row>
    <row r="916" spans="5:8">
      <c r="E916" s="400"/>
      <c r="F916" s="400"/>
      <c r="G916" s="400"/>
      <c r="H916" s="400"/>
    </row>
    <row r="917" spans="5:8">
      <c r="E917" s="400"/>
      <c r="F917" s="400"/>
      <c r="G917" s="400"/>
      <c r="H917" s="400"/>
    </row>
    <row r="918" spans="5:8">
      <c r="E918" s="400"/>
      <c r="F918" s="400"/>
      <c r="G918" s="400"/>
      <c r="H918" s="400"/>
    </row>
    <row r="919" spans="5:8">
      <c r="E919" s="400"/>
      <c r="F919" s="400"/>
      <c r="G919" s="400"/>
      <c r="H919" s="400"/>
    </row>
    <row r="920" spans="5:8">
      <c r="E920" s="400"/>
      <c r="F920" s="400"/>
      <c r="G920" s="400"/>
      <c r="H920" s="400"/>
    </row>
    <row r="921" spans="5:8">
      <c r="E921" s="400"/>
      <c r="F921" s="400"/>
      <c r="G921" s="400"/>
      <c r="H921" s="400"/>
    </row>
    <row r="922" spans="5:8">
      <c r="E922" s="400"/>
      <c r="F922" s="400"/>
      <c r="G922" s="400"/>
      <c r="H922" s="400"/>
    </row>
    <row r="923" spans="5:8">
      <c r="E923" s="400"/>
      <c r="F923" s="400"/>
      <c r="G923" s="400"/>
      <c r="H923" s="400"/>
    </row>
    <row r="924" spans="5:8">
      <c r="E924" s="400"/>
      <c r="F924" s="400"/>
      <c r="G924" s="400"/>
      <c r="H924" s="400"/>
    </row>
    <row r="925" spans="5:8">
      <c r="E925" s="400"/>
      <c r="F925" s="400"/>
      <c r="G925" s="400"/>
      <c r="H925" s="400"/>
    </row>
    <row r="926" spans="5:8">
      <c r="E926" s="400"/>
      <c r="F926" s="400"/>
      <c r="G926" s="400"/>
      <c r="H926" s="400"/>
    </row>
    <row r="927" spans="5:8">
      <c r="E927" s="400"/>
      <c r="F927" s="400"/>
      <c r="G927" s="400"/>
      <c r="H927" s="400"/>
    </row>
    <row r="928" spans="5:8">
      <c r="E928" s="400"/>
      <c r="F928" s="400"/>
      <c r="G928" s="400"/>
      <c r="H928" s="400"/>
    </row>
    <row r="929" spans="5:8">
      <c r="E929" s="400"/>
      <c r="F929" s="400"/>
      <c r="G929" s="400"/>
      <c r="H929" s="400"/>
    </row>
    <row r="930" spans="5:8">
      <c r="E930" s="400"/>
      <c r="F930" s="400"/>
      <c r="G930" s="400"/>
      <c r="H930" s="400"/>
    </row>
    <row r="931" spans="5:8">
      <c r="E931" s="400"/>
      <c r="F931" s="400"/>
      <c r="G931" s="400"/>
      <c r="H931" s="400"/>
    </row>
    <row r="932" spans="5:8">
      <c r="E932" s="400"/>
      <c r="F932" s="400"/>
      <c r="G932" s="400"/>
      <c r="H932" s="400"/>
    </row>
    <row r="933" spans="5:8">
      <c r="E933" s="400"/>
      <c r="F933" s="400"/>
      <c r="G933" s="400"/>
      <c r="H933" s="400"/>
    </row>
    <row r="934" spans="5:8">
      <c r="E934" s="400"/>
      <c r="F934" s="400"/>
      <c r="G934" s="400"/>
      <c r="H934" s="400"/>
    </row>
    <row r="935" spans="5:8">
      <c r="E935" s="400"/>
      <c r="F935" s="400"/>
      <c r="G935" s="400"/>
      <c r="H935" s="400"/>
    </row>
    <row r="936" spans="5:8">
      <c r="E936" s="400"/>
      <c r="F936" s="400"/>
      <c r="G936" s="400"/>
      <c r="H936" s="400"/>
    </row>
    <row r="937" spans="5:8">
      <c r="E937" s="400"/>
      <c r="F937" s="400"/>
      <c r="G937" s="400"/>
      <c r="H937" s="400"/>
    </row>
    <row r="938" spans="5:8">
      <c r="E938" s="400"/>
      <c r="F938" s="400"/>
      <c r="G938" s="400"/>
      <c r="H938" s="400"/>
    </row>
    <row r="939" spans="5:8">
      <c r="E939" s="400"/>
      <c r="F939" s="400"/>
      <c r="G939" s="400"/>
      <c r="H939" s="400"/>
    </row>
    <row r="940" spans="5:8">
      <c r="E940" s="400"/>
      <c r="F940" s="400"/>
      <c r="G940" s="400"/>
      <c r="H940" s="400"/>
    </row>
    <row r="941" spans="5:8">
      <c r="E941" s="400"/>
      <c r="F941" s="400"/>
      <c r="G941" s="400"/>
      <c r="H941" s="400"/>
    </row>
    <row r="942" spans="5:8">
      <c r="E942" s="400"/>
      <c r="F942" s="400"/>
      <c r="G942" s="400"/>
      <c r="H942" s="400"/>
    </row>
    <row r="943" spans="5:8">
      <c r="E943" s="400"/>
      <c r="F943" s="400"/>
      <c r="G943" s="400"/>
      <c r="H943" s="400"/>
    </row>
    <row r="944" spans="5:8">
      <c r="E944" s="400"/>
      <c r="F944" s="400"/>
      <c r="G944" s="400"/>
      <c r="H944" s="400"/>
    </row>
    <row r="945" spans="5:8">
      <c r="E945" s="400"/>
      <c r="F945" s="400"/>
      <c r="G945" s="400"/>
      <c r="H945" s="400"/>
    </row>
    <row r="946" spans="5:8">
      <c r="E946" s="400"/>
      <c r="F946" s="400"/>
      <c r="G946" s="400"/>
      <c r="H946" s="400"/>
    </row>
    <row r="947" spans="5:8">
      <c r="E947" s="400"/>
      <c r="F947" s="400"/>
      <c r="G947" s="400"/>
      <c r="H947" s="400"/>
    </row>
    <row r="948" spans="5:8">
      <c r="E948" s="400"/>
      <c r="F948" s="400"/>
      <c r="G948" s="400"/>
      <c r="H948" s="400"/>
    </row>
    <row r="949" spans="5:8">
      <c r="E949" s="400"/>
      <c r="F949" s="400"/>
      <c r="G949" s="400"/>
      <c r="H949" s="400"/>
    </row>
    <row r="950" spans="5:8">
      <c r="E950" s="400"/>
      <c r="F950" s="400"/>
      <c r="G950" s="400"/>
      <c r="H950" s="400"/>
    </row>
    <row r="951" spans="5:8">
      <c r="E951" s="400"/>
      <c r="F951" s="400"/>
      <c r="G951" s="400"/>
      <c r="H951" s="400"/>
    </row>
    <row r="952" spans="5:8">
      <c r="E952" s="400"/>
      <c r="F952" s="400"/>
      <c r="G952" s="400"/>
      <c r="H952" s="400"/>
    </row>
    <row r="953" spans="5:8">
      <c r="E953" s="400"/>
      <c r="F953" s="400"/>
      <c r="G953" s="400"/>
      <c r="H953" s="400"/>
    </row>
    <row r="954" spans="5:8">
      <c r="E954" s="400"/>
      <c r="F954" s="400"/>
      <c r="G954" s="400"/>
      <c r="H954" s="400"/>
    </row>
    <row r="955" spans="5:8">
      <c r="E955" s="400"/>
      <c r="F955" s="400"/>
      <c r="G955" s="400"/>
      <c r="H955" s="400"/>
    </row>
    <row r="956" spans="5:8">
      <c r="E956" s="400"/>
      <c r="F956" s="400"/>
      <c r="G956" s="400"/>
      <c r="H956" s="400"/>
    </row>
    <row r="957" spans="5:8">
      <c r="E957" s="400"/>
      <c r="F957" s="400"/>
      <c r="G957" s="400"/>
      <c r="H957" s="400"/>
    </row>
    <row r="958" spans="5:8">
      <c r="E958" s="400"/>
      <c r="F958" s="400"/>
      <c r="G958" s="400"/>
      <c r="H958" s="400"/>
    </row>
    <row r="959" spans="5:8">
      <c r="E959" s="400"/>
      <c r="F959" s="400"/>
      <c r="G959" s="400"/>
      <c r="H959" s="400"/>
    </row>
    <row r="960" spans="5:8">
      <c r="E960" s="400"/>
      <c r="F960" s="400"/>
      <c r="G960" s="400"/>
      <c r="H960" s="400"/>
    </row>
    <row r="961" spans="5:8">
      <c r="E961" s="400"/>
      <c r="F961" s="400"/>
      <c r="G961" s="400"/>
      <c r="H961" s="400"/>
    </row>
    <row r="962" spans="5:8">
      <c r="E962" s="400"/>
      <c r="F962" s="400"/>
      <c r="G962" s="400"/>
      <c r="H962" s="400"/>
    </row>
    <row r="963" spans="5:8">
      <c r="E963" s="400"/>
      <c r="F963" s="400"/>
      <c r="G963" s="400"/>
      <c r="H963" s="400"/>
    </row>
    <row r="964" spans="5:8">
      <c r="E964" s="400"/>
      <c r="F964" s="400"/>
      <c r="G964" s="400"/>
      <c r="H964" s="400"/>
    </row>
    <row r="965" spans="5:8">
      <c r="E965" s="400"/>
      <c r="F965" s="400"/>
      <c r="G965" s="400"/>
      <c r="H965" s="400"/>
    </row>
    <row r="966" spans="5:8">
      <c r="E966" s="400"/>
      <c r="F966" s="400"/>
      <c r="G966" s="400"/>
      <c r="H966" s="400"/>
    </row>
    <row r="967" spans="5:8">
      <c r="E967" s="400"/>
      <c r="F967" s="400"/>
      <c r="G967" s="400"/>
      <c r="H967" s="400"/>
    </row>
    <row r="968" spans="5:8">
      <c r="E968" s="400"/>
      <c r="F968" s="400"/>
      <c r="G968" s="400"/>
      <c r="H968" s="400"/>
    </row>
    <row r="969" spans="5:8">
      <c r="E969" s="400"/>
      <c r="F969" s="400"/>
      <c r="G969" s="400"/>
      <c r="H969" s="400"/>
    </row>
    <row r="970" spans="5:8">
      <c r="E970" s="400"/>
      <c r="F970" s="400"/>
      <c r="G970" s="400"/>
      <c r="H970" s="400"/>
    </row>
    <row r="971" spans="5:8">
      <c r="E971" s="400"/>
      <c r="F971" s="400"/>
      <c r="G971" s="400"/>
      <c r="H971" s="400"/>
    </row>
    <row r="972" spans="5:8">
      <c r="E972" s="400"/>
      <c r="F972" s="400"/>
      <c r="G972" s="400"/>
      <c r="H972" s="400"/>
    </row>
    <row r="973" spans="5:8">
      <c r="E973" s="400"/>
      <c r="F973" s="400"/>
      <c r="G973" s="400"/>
      <c r="H973" s="400"/>
    </row>
    <row r="974" spans="5:8">
      <c r="E974" s="400"/>
      <c r="F974" s="400"/>
      <c r="G974" s="400"/>
      <c r="H974" s="400"/>
    </row>
    <row r="975" spans="5:8">
      <c r="E975" s="400"/>
      <c r="F975" s="400"/>
      <c r="G975" s="400"/>
      <c r="H975" s="400"/>
    </row>
    <row r="976" spans="5:8">
      <c r="E976" s="400"/>
      <c r="F976" s="400"/>
      <c r="G976" s="400"/>
      <c r="H976" s="400"/>
    </row>
    <row r="977" spans="5:8">
      <c r="E977" s="400"/>
      <c r="F977" s="400"/>
      <c r="G977" s="400"/>
      <c r="H977" s="400"/>
    </row>
    <row r="978" spans="5:8">
      <c r="E978" s="400"/>
      <c r="F978" s="400"/>
      <c r="G978" s="400"/>
      <c r="H978" s="400"/>
    </row>
    <row r="979" spans="5:8">
      <c r="E979" s="400"/>
      <c r="F979" s="400"/>
      <c r="G979" s="400"/>
      <c r="H979" s="400"/>
    </row>
    <row r="980" spans="5:8">
      <c r="E980" s="400"/>
      <c r="F980" s="400"/>
      <c r="G980" s="400"/>
      <c r="H980" s="400"/>
    </row>
    <row r="981" spans="5:8">
      <c r="E981" s="400"/>
      <c r="F981" s="400"/>
      <c r="G981" s="400"/>
      <c r="H981" s="400"/>
    </row>
    <row r="982" spans="5:8">
      <c r="E982" s="400"/>
      <c r="F982" s="400"/>
      <c r="G982" s="400"/>
      <c r="H982" s="400"/>
    </row>
    <row r="983" spans="5:8">
      <c r="E983" s="400"/>
      <c r="F983" s="400"/>
      <c r="G983" s="400"/>
      <c r="H983" s="400"/>
    </row>
    <row r="984" spans="5:8">
      <c r="E984" s="400"/>
      <c r="F984" s="400"/>
      <c r="G984" s="400"/>
      <c r="H984" s="400"/>
    </row>
    <row r="985" spans="5:8">
      <c r="E985" s="400"/>
      <c r="F985" s="400"/>
      <c r="G985" s="400"/>
      <c r="H985" s="400"/>
    </row>
    <row r="986" spans="5:8">
      <c r="E986" s="400"/>
      <c r="F986" s="400"/>
      <c r="G986" s="400"/>
      <c r="H986" s="400"/>
    </row>
    <row r="987" spans="5:8">
      <c r="E987" s="400"/>
      <c r="F987" s="400"/>
      <c r="G987" s="400"/>
      <c r="H987" s="400"/>
    </row>
    <row r="988" spans="5:8">
      <c r="E988" s="400"/>
      <c r="F988" s="400"/>
      <c r="G988" s="400"/>
      <c r="H988" s="400"/>
    </row>
    <row r="989" spans="5:8">
      <c r="E989" s="400"/>
      <c r="F989" s="400"/>
      <c r="G989" s="400"/>
      <c r="H989" s="400"/>
    </row>
    <row r="990" spans="5:8">
      <c r="E990" s="400"/>
      <c r="F990" s="400"/>
      <c r="G990" s="400"/>
      <c r="H990" s="400"/>
    </row>
    <row r="991" spans="5:8">
      <c r="E991" s="400"/>
      <c r="F991" s="400"/>
      <c r="G991" s="400"/>
      <c r="H991" s="400"/>
    </row>
    <row r="992" spans="5:8">
      <c r="E992" s="400"/>
      <c r="F992" s="400"/>
      <c r="G992" s="400"/>
      <c r="H992" s="400"/>
    </row>
    <row r="993" spans="5:8">
      <c r="E993" s="400"/>
      <c r="F993" s="400"/>
      <c r="G993" s="400"/>
      <c r="H993" s="400"/>
    </row>
    <row r="994" spans="5:8">
      <c r="E994" s="400"/>
      <c r="F994" s="400"/>
      <c r="G994" s="400"/>
      <c r="H994" s="400"/>
    </row>
    <row r="995" spans="5:8">
      <c r="E995" s="400"/>
      <c r="F995" s="400"/>
      <c r="G995" s="400"/>
      <c r="H995" s="400"/>
    </row>
    <row r="996" spans="5:8">
      <c r="E996" s="400"/>
      <c r="F996" s="400"/>
      <c r="G996" s="400"/>
      <c r="H996" s="400"/>
    </row>
    <row r="997" spans="5:8">
      <c r="E997" s="400"/>
      <c r="F997" s="400"/>
      <c r="G997" s="400"/>
      <c r="H997" s="400"/>
    </row>
    <row r="998" spans="5:8">
      <c r="E998" s="400"/>
      <c r="F998" s="400"/>
      <c r="G998" s="400"/>
      <c r="H998" s="400"/>
    </row>
    <row r="999" spans="5:8">
      <c r="E999" s="400"/>
      <c r="F999" s="400"/>
      <c r="G999" s="400"/>
      <c r="H999" s="400"/>
    </row>
    <row r="1000" spans="5:8">
      <c r="E1000" s="400"/>
      <c r="F1000" s="400"/>
      <c r="G1000" s="400"/>
      <c r="H1000" s="400"/>
    </row>
    <row r="1001" spans="5:8">
      <c r="E1001" s="400"/>
      <c r="F1001" s="400"/>
      <c r="G1001" s="400"/>
      <c r="H1001" s="400"/>
    </row>
    <row r="1002" spans="5:8">
      <c r="E1002" s="400"/>
      <c r="F1002" s="400"/>
      <c r="G1002" s="400"/>
      <c r="H1002" s="400"/>
    </row>
    <row r="1003" spans="5:8">
      <c r="E1003" s="400"/>
      <c r="F1003" s="400"/>
      <c r="G1003" s="400"/>
      <c r="H1003" s="400"/>
    </row>
    <row r="1004" spans="5:8">
      <c r="E1004" s="400"/>
      <c r="F1004" s="400"/>
      <c r="G1004" s="400"/>
      <c r="H1004" s="400"/>
    </row>
    <row r="1005" spans="5:8">
      <c r="E1005" s="400"/>
      <c r="F1005" s="400"/>
      <c r="G1005" s="400"/>
      <c r="H1005" s="400"/>
    </row>
    <row r="1006" spans="5:8">
      <c r="E1006" s="400"/>
      <c r="F1006" s="400"/>
      <c r="G1006" s="400"/>
      <c r="H1006" s="400"/>
    </row>
    <row r="1007" spans="5:8">
      <c r="E1007" s="400"/>
      <c r="F1007" s="400"/>
      <c r="G1007" s="400"/>
      <c r="H1007" s="400"/>
    </row>
    <row r="1008" spans="5:8">
      <c r="E1008" s="400"/>
      <c r="F1008" s="400"/>
      <c r="G1008" s="400"/>
      <c r="H1008" s="400"/>
    </row>
    <row r="1009" spans="5:8">
      <c r="E1009" s="400"/>
      <c r="F1009" s="400"/>
      <c r="G1009" s="400"/>
      <c r="H1009" s="400"/>
    </row>
    <row r="1010" spans="5:8">
      <c r="E1010" s="400"/>
      <c r="F1010" s="400"/>
      <c r="G1010" s="400"/>
      <c r="H1010" s="400"/>
    </row>
    <row r="1011" spans="5:8">
      <c r="E1011" s="400"/>
      <c r="F1011" s="400"/>
      <c r="G1011" s="400"/>
      <c r="H1011" s="400"/>
    </row>
    <row r="1012" spans="5:8">
      <c r="E1012" s="400"/>
      <c r="F1012" s="400"/>
      <c r="G1012" s="400"/>
      <c r="H1012" s="400"/>
    </row>
    <row r="1013" spans="5:8">
      <c r="E1013" s="400"/>
      <c r="F1013" s="400"/>
      <c r="G1013" s="400"/>
      <c r="H1013" s="400"/>
    </row>
    <row r="1014" spans="5:8">
      <c r="E1014" s="400"/>
      <c r="F1014" s="400"/>
      <c r="G1014" s="400"/>
      <c r="H1014" s="400"/>
    </row>
    <row r="1015" spans="5:8">
      <c r="E1015" s="400"/>
      <c r="F1015" s="400"/>
      <c r="G1015" s="400"/>
      <c r="H1015" s="400"/>
    </row>
    <row r="1016" spans="5:8">
      <c r="E1016" s="400"/>
      <c r="F1016" s="400"/>
      <c r="G1016" s="400"/>
      <c r="H1016" s="400"/>
    </row>
    <row r="1017" spans="5:8">
      <c r="E1017" s="400"/>
      <c r="F1017" s="400"/>
      <c r="G1017" s="400"/>
      <c r="H1017" s="400"/>
    </row>
    <row r="1018" spans="5:8">
      <c r="E1018" s="400"/>
      <c r="F1018" s="400"/>
      <c r="G1018" s="400"/>
      <c r="H1018" s="400"/>
    </row>
    <row r="1019" spans="5:8">
      <c r="E1019" s="400"/>
      <c r="F1019" s="400"/>
      <c r="G1019" s="400"/>
      <c r="H1019" s="400"/>
    </row>
    <row r="1020" spans="5:8">
      <c r="E1020" s="400"/>
      <c r="F1020" s="400"/>
      <c r="G1020" s="400"/>
      <c r="H1020" s="400"/>
    </row>
    <row r="1021" spans="5:8">
      <c r="E1021" s="400"/>
      <c r="F1021" s="400"/>
      <c r="G1021" s="400"/>
      <c r="H1021" s="400"/>
    </row>
    <row r="1022" spans="5:8">
      <c r="E1022" s="400"/>
      <c r="F1022" s="400"/>
      <c r="G1022" s="400"/>
      <c r="H1022" s="400"/>
    </row>
    <row r="1023" spans="5:8">
      <c r="E1023" s="400"/>
      <c r="F1023" s="400"/>
      <c r="G1023" s="400"/>
      <c r="H1023" s="400"/>
    </row>
    <row r="1024" spans="5:8">
      <c r="E1024" s="400"/>
      <c r="F1024" s="400"/>
      <c r="G1024" s="400"/>
      <c r="H1024" s="400"/>
    </row>
    <row r="1025" spans="5:8">
      <c r="E1025" s="400"/>
      <c r="F1025" s="400"/>
      <c r="G1025" s="400"/>
      <c r="H1025" s="400"/>
    </row>
    <row r="1026" spans="5:8">
      <c r="E1026" s="400"/>
      <c r="F1026" s="400"/>
      <c r="G1026" s="400"/>
      <c r="H1026" s="400"/>
    </row>
    <row r="1027" spans="5:8">
      <c r="E1027" s="400"/>
      <c r="F1027" s="400"/>
      <c r="G1027" s="400"/>
      <c r="H1027" s="400"/>
    </row>
    <row r="1028" spans="5:8">
      <c r="E1028" s="400"/>
      <c r="F1028" s="400"/>
      <c r="G1028" s="400"/>
      <c r="H1028" s="400"/>
    </row>
    <row r="1029" spans="5:8">
      <c r="E1029" s="400"/>
      <c r="F1029" s="400"/>
      <c r="G1029" s="400"/>
      <c r="H1029" s="400"/>
    </row>
    <row r="1030" spans="5:8">
      <c r="E1030" s="400"/>
      <c r="F1030" s="400"/>
      <c r="G1030" s="400"/>
      <c r="H1030" s="400"/>
    </row>
    <row r="1031" spans="5:8">
      <c r="E1031" s="400"/>
      <c r="F1031" s="400"/>
      <c r="G1031" s="400"/>
      <c r="H1031" s="400"/>
    </row>
    <row r="1032" spans="5:8">
      <c r="E1032" s="400"/>
      <c r="F1032" s="400"/>
      <c r="G1032" s="400"/>
      <c r="H1032" s="400"/>
    </row>
    <row r="1033" spans="5:8">
      <c r="E1033" s="400"/>
      <c r="F1033" s="400"/>
      <c r="G1033" s="400"/>
      <c r="H1033" s="400"/>
    </row>
    <row r="1034" spans="5:8">
      <c r="E1034" s="400"/>
      <c r="F1034" s="400"/>
      <c r="G1034" s="400"/>
      <c r="H1034" s="400"/>
    </row>
    <row r="1035" spans="5:8">
      <c r="E1035" s="400"/>
      <c r="F1035" s="400"/>
      <c r="G1035" s="400"/>
      <c r="H1035" s="400"/>
    </row>
    <row r="1036" spans="5:8">
      <c r="E1036" s="400"/>
      <c r="F1036" s="400"/>
      <c r="G1036" s="400"/>
      <c r="H1036" s="400"/>
    </row>
    <row r="1037" spans="5:8">
      <c r="E1037" s="400"/>
      <c r="F1037" s="400"/>
      <c r="G1037" s="400"/>
      <c r="H1037" s="400"/>
    </row>
    <row r="1038" spans="5:8">
      <c r="E1038" s="400"/>
      <c r="F1038" s="400"/>
      <c r="G1038" s="400"/>
      <c r="H1038" s="400"/>
    </row>
    <row r="1039" spans="5:8">
      <c r="E1039" s="400"/>
      <c r="F1039" s="400"/>
      <c r="G1039" s="400"/>
      <c r="H1039" s="400"/>
    </row>
    <row r="1040" spans="5:8">
      <c r="E1040" s="400"/>
      <c r="F1040" s="400"/>
      <c r="G1040" s="400"/>
      <c r="H1040" s="400"/>
    </row>
    <row r="1041" spans="5:8">
      <c r="E1041" s="400"/>
      <c r="F1041" s="400"/>
      <c r="G1041" s="400"/>
      <c r="H1041" s="400"/>
    </row>
    <row r="1042" spans="5:8">
      <c r="E1042" s="400"/>
      <c r="F1042" s="400"/>
      <c r="G1042" s="400"/>
      <c r="H1042" s="400"/>
    </row>
    <row r="1043" spans="5:8">
      <c r="E1043" s="400"/>
      <c r="F1043" s="400"/>
      <c r="G1043" s="400"/>
      <c r="H1043" s="400"/>
    </row>
    <row r="1044" spans="5:8">
      <c r="E1044" s="400"/>
      <c r="F1044" s="400"/>
      <c r="G1044" s="400"/>
      <c r="H1044" s="400"/>
    </row>
    <row r="1045" spans="5:8">
      <c r="E1045" s="400"/>
      <c r="F1045" s="400"/>
      <c r="G1045" s="400"/>
      <c r="H1045" s="400"/>
    </row>
    <row r="1046" spans="5:8">
      <c r="E1046" s="400"/>
      <c r="F1046" s="400"/>
      <c r="G1046" s="400"/>
      <c r="H1046" s="400"/>
    </row>
    <row r="1047" spans="5:8">
      <c r="E1047" s="400"/>
      <c r="F1047" s="400"/>
      <c r="G1047" s="400"/>
      <c r="H1047" s="400"/>
    </row>
    <row r="1048" spans="5:8">
      <c r="E1048" s="400"/>
      <c r="F1048" s="400"/>
      <c r="G1048" s="400"/>
      <c r="H1048" s="400"/>
    </row>
    <row r="1049" spans="5:8">
      <c r="E1049" s="400"/>
      <c r="F1049" s="400"/>
      <c r="G1049" s="400"/>
      <c r="H1049" s="400"/>
    </row>
    <row r="1050" spans="5:8">
      <c r="E1050" s="400"/>
      <c r="F1050" s="400"/>
      <c r="G1050" s="400"/>
      <c r="H1050" s="400"/>
    </row>
    <row r="1051" spans="5:8">
      <c r="E1051" s="400"/>
      <c r="F1051" s="400"/>
      <c r="G1051" s="400"/>
      <c r="H1051" s="400"/>
    </row>
    <row r="1052" spans="5:8">
      <c r="E1052" s="400"/>
      <c r="F1052" s="400"/>
      <c r="G1052" s="400"/>
      <c r="H1052" s="400"/>
    </row>
    <row r="1053" spans="5:8">
      <c r="E1053" s="400"/>
      <c r="F1053" s="400"/>
      <c r="G1053" s="400"/>
      <c r="H1053" s="400"/>
    </row>
    <row r="1054" spans="5:8">
      <c r="E1054" s="400"/>
      <c r="F1054" s="400"/>
      <c r="G1054" s="400"/>
      <c r="H1054" s="400"/>
    </row>
    <row r="1055" spans="5:8">
      <c r="E1055" s="400"/>
      <c r="F1055" s="400"/>
      <c r="G1055" s="400"/>
      <c r="H1055" s="400"/>
    </row>
    <row r="1056" spans="5:8">
      <c r="E1056" s="400"/>
      <c r="F1056" s="400"/>
      <c r="G1056" s="400"/>
      <c r="H1056" s="400"/>
    </row>
    <row r="1057" spans="5:8">
      <c r="E1057" s="400"/>
      <c r="F1057" s="400"/>
      <c r="G1057" s="400"/>
      <c r="H1057" s="400"/>
    </row>
    <row r="1058" spans="5:8">
      <c r="E1058" s="400"/>
      <c r="F1058" s="400"/>
      <c r="G1058" s="400"/>
      <c r="H1058" s="400"/>
    </row>
    <row r="1059" spans="5:8">
      <c r="E1059" s="400"/>
      <c r="F1059" s="400"/>
      <c r="G1059" s="400"/>
      <c r="H1059" s="400"/>
    </row>
    <row r="1060" spans="5:8">
      <c r="E1060" s="400"/>
      <c r="F1060" s="400"/>
      <c r="G1060" s="400"/>
      <c r="H1060" s="400"/>
    </row>
    <row r="1061" spans="5:8">
      <c r="E1061" s="400"/>
      <c r="F1061" s="400"/>
      <c r="G1061" s="400"/>
      <c r="H1061" s="400"/>
    </row>
    <row r="1062" spans="5:8">
      <c r="E1062" s="400"/>
      <c r="F1062" s="400"/>
      <c r="G1062" s="400"/>
      <c r="H1062" s="400"/>
    </row>
    <row r="1063" spans="5:8">
      <c r="E1063" s="400"/>
      <c r="F1063" s="400"/>
      <c r="G1063" s="400"/>
      <c r="H1063" s="400"/>
    </row>
    <row r="1064" spans="5:8">
      <c r="E1064" s="400"/>
      <c r="F1064" s="400"/>
      <c r="G1064" s="400"/>
      <c r="H1064" s="400"/>
    </row>
    <row r="1065" spans="5:8">
      <c r="E1065" s="400"/>
      <c r="F1065" s="400"/>
      <c r="G1065" s="400"/>
      <c r="H1065" s="400"/>
    </row>
    <row r="1066" spans="5:8">
      <c r="E1066" s="400"/>
      <c r="F1066" s="400"/>
      <c r="G1066" s="400"/>
      <c r="H1066" s="400"/>
    </row>
    <row r="1067" spans="5:8">
      <c r="E1067" s="400"/>
      <c r="F1067" s="400"/>
      <c r="G1067" s="400"/>
      <c r="H1067" s="400"/>
    </row>
    <row r="1068" spans="5:8">
      <c r="E1068" s="400"/>
      <c r="F1068" s="400"/>
      <c r="G1068" s="400"/>
      <c r="H1068" s="400"/>
    </row>
    <row r="1069" spans="5:8">
      <c r="E1069" s="400"/>
      <c r="F1069" s="400"/>
      <c r="G1069" s="400"/>
      <c r="H1069" s="400"/>
    </row>
    <row r="1070" spans="5:8">
      <c r="E1070" s="400"/>
      <c r="F1070" s="400"/>
      <c r="G1070" s="400"/>
      <c r="H1070" s="400"/>
    </row>
    <row r="1071" spans="5:8">
      <c r="E1071" s="400"/>
      <c r="F1071" s="400"/>
      <c r="G1071" s="400"/>
      <c r="H1071" s="400"/>
    </row>
    <row r="1072" spans="5:8">
      <c r="E1072" s="400"/>
      <c r="F1072" s="400"/>
      <c r="G1072" s="400"/>
      <c r="H1072" s="400"/>
    </row>
    <row r="1073" spans="5:8">
      <c r="E1073" s="400"/>
      <c r="F1073" s="400"/>
      <c r="G1073" s="400"/>
      <c r="H1073" s="400"/>
    </row>
    <row r="1074" spans="5:8">
      <c r="E1074" s="400"/>
      <c r="F1074" s="400"/>
      <c r="G1074" s="400"/>
      <c r="H1074" s="400"/>
    </row>
    <row r="1075" spans="5:8">
      <c r="E1075" s="400"/>
      <c r="F1075" s="400"/>
      <c r="G1075" s="400"/>
      <c r="H1075" s="400"/>
    </row>
    <row r="1076" spans="5:8">
      <c r="E1076" s="400"/>
      <c r="F1076" s="400"/>
      <c r="G1076" s="400"/>
      <c r="H1076" s="400"/>
    </row>
    <row r="1077" spans="5:8">
      <c r="E1077" s="400"/>
      <c r="F1077" s="400"/>
      <c r="G1077" s="400"/>
      <c r="H1077" s="400"/>
    </row>
    <row r="1078" spans="5:8">
      <c r="E1078" s="400"/>
      <c r="F1078" s="400"/>
      <c r="G1078" s="400"/>
      <c r="H1078" s="400"/>
    </row>
    <row r="1079" spans="5:8">
      <c r="E1079" s="400"/>
      <c r="F1079" s="400"/>
      <c r="G1079" s="400"/>
      <c r="H1079" s="400"/>
    </row>
    <row r="1080" spans="5:8">
      <c r="E1080" s="400"/>
      <c r="F1080" s="400"/>
      <c r="G1080" s="400"/>
      <c r="H1080" s="400"/>
    </row>
    <row r="1081" spans="5:8">
      <c r="E1081" s="400"/>
      <c r="F1081" s="400"/>
      <c r="G1081" s="400"/>
      <c r="H1081" s="400"/>
    </row>
    <row r="1082" spans="5:8">
      <c r="E1082" s="400"/>
      <c r="F1082" s="400"/>
      <c r="G1082" s="400"/>
      <c r="H1082" s="400"/>
    </row>
    <row r="1083" spans="5:8">
      <c r="E1083" s="400"/>
      <c r="F1083" s="400"/>
      <c r="G1083" s="400"/>
      <c r="H1083" s="400"/>
    </row>
    <row r="1084" spans="5:8">
      <c r="E1084" s="400"/>
      <c r="F1084" s="400"/>
      <c r="G1084" s="400"/>
      <c r="H1084" s="400"/>
    </row>
    <row r="1085" spans="5:8">
      <c r="E1085" s="400"/>
      <c r="F1085" s="400"/>
      <c r="G1085" s="400"/>
      <c r="H1085" s="400"/>
    </row>
    <row r="1086" spans="5:8">
      <c r="E1086" s="400"/>
      <c r="F1086" s="400"/>
      <c r="G1086" s="400"/>
      <c r="H1086" s="400"/>
    </row>
    <row r="1087" spans="5:8">
      <c r="E1087" s="400"/>
      <c r="F1087" s="400"/>
      <c r="G1087" s="400"/>
      <c r="H1087" s="400"/>
    </row>
    <row r="1088" spans="5:8">
      <c r="E1088" s="400"/>
      <c r="F1088" s="400"/>
      <c r="G1088" s="400"/>
      <c r="H1088" s="400"/>
    </row>
    <row r="1089" spans="5:8">
      <c r="E1089" s="400"/>
      <c r="F1089" s="400"/>
      <c r="G1089" s="400"/>
      <c r="H1089" s="400"/>
    </row>
    <row r="1090" spans="5:8">
      <c r="E1090" s="400"/>
      <c r="F1090" s="400"/>
      <c r="G1090" s="400"/>
      <c r="H1090" s="400"/>
    </row>
    <row r="1091" spans="5:8">
      <c r="E1091" s="400"/>
      <c r="F1091" s="400"/>
      <c r="G1091" s="400"/>
      <c r="H1091" s="400"/>
    </row>
    <row r="1092" spans="5:8">
      <c r="E1092" s="400"/>
      <c r="F1092" s="400"/>
      <c r="G1092" s="400"/>
      <c r="H1092" s="400"/>
    </row>
    <row r="1093" spans="5:8">
      <c r="E1093" s="400"/>
      <c r="F1093" s="400"/>
      <c r="G1093" s="400"/>
      <c r="H1093" s="400"/>
    </row>
    <row r="1094" spans="5:8">
      <c r="E1094" s="400"/>
      <c r="F1094" s="400"/>
      <c r="G1094" s="400"/>
      <c r="H1094" s="400"/>
    </row>
    <row r="1095" spans="5:8">
      <c r="E1095" s="400"/>
      <c r="F1095" s="400"/>
      <c r="G1095" s="400"/>
      <c r="H1095" s="400"/>
    </row>
    <row r="1096" spans="5:8">
      <c r="E1096" s="400"/>
      <c r="F1096" s="400"/>
      <c r="G1096" s="400"/>
      <c r="H1096" s="400"/>
    </row>
    <row r="1097" spans="5:8">
      <c r="E1097" s="400"/>
      <c r="F1097" s="400"/>
      <c r="G1097" s="400"/>
      <c r="H1097" s="400"/>
    </row>
    <row r="1098" spans="5:8">
      <c r="E1098" s="400"/>
      <c r="F1098" s="400"/>
      <c r="G1098" s="400"/>
      <c r="H1098" s="400"/>
    </row>
    <row r="1099" spans="5:8">
      <c r="E1099" s="400"/>
      <c r="F1099" s="400"/>
      <c r="G1099" s="400"/>
      <c r="H1099" s="400"/>
    </row>
    <row r="1100" spans="5:8">
      <c r="E1100" s="400"/>
      <c r="F1100" s="400"/>
      <c r="G1100" s="400"/>
      <c r="H1100" s="400"/>
    </row>
    <row r="1101" spans="5:8">
      <c r="E1101" s="400"/>
      <c r="F1101" s="400"/>
      <c r="G1101" s="400"/>
      <c r="H1101" s="400"/>
    </row>
    <row r="1102" spans="5:8">
      <c r="E1102" s="400"/>
      <c r="F1102" s="400"/>
      <c r="G1102" s="400"/>
      <c r="H1102" s="400"/>
    </row>
    <row r="1103" spans="5:8">
      <c r="E1103" s="400"/>
      <c r="F1103" s="400"/>
      <c r="G1103" s="400"/>
      <c r="H1103" s="400"/>
    </row>
    <row r="1104" spans="5:8">
      <c r="E1104" s="400"/>
      <c r="F1104" s="400"/>
      <c r="G1104" s="400"/>
      <c r="H1104" s="400"/>
    </row>
    <row r="1105" spans="5:8">
      <c r="E1105" s="400"/>
      <c r="F1105" s="400"/>
      <c r="G1105" s="400"/>
      <c r="H1105" s="400"/>
    </row>
    <row r="1106" spans="5:8">
      <c r="E1106" s="400"/>
      <c r="F1106" s="400"/>
      <c r="G1106" s="400"/>
      <c r="H1106" s="400"/>
    </row>
    <row r="1107" spans="5:8">
      <c r="E1107" s="400"/>
      <c r="F1107" s="400"/>
      <c r="G1107" s="400"/>
      <c r="H1107" s="400"/>
    </row>
    <row r="1108" spans="5:8">
      <c r="E1108" s="400"/>
      <c r="F1108" s="400"/>
      <c r="G1108" s="400"/>
      <c r="H1108" s="400"/>
    </row>
    <row r="1109" spans="5:8">
      <c r="E1109" s="400"/>
      <c r="F1109" s="400"/>
      <c r="G1109" s="400"/>
      <c r="H1109" s="400"/>
    </row>
    <row r="1110" spans="5:8">
      <c r="E1110" s="400"/>
      <c r="F1110" s="400"/>
      <c r="G1110" s="400"/>
      <c r="H1110" s="400"/>
    </row>
    <row r="1111" spans="5:8">
      <c r="E1111" s="400"/>
      <c r="F1111" s="400"/>
      <c r="G1111" s="400"/>
      <c r="H1111" s="400"/>
    </row>
    <row r="1112" spans="5:8">
      <c r="E1112" s="400"/>
      <c r="F1112" s="400"/>
      <c r="G1112" s="400"/>
      <c r="H1112" s="400"/>
    </row>
    <row r="1113" spans="5:8">
      <c r="E1113" s="400"/>
      <c r="F1113" s="400"/>
      <c r="G1113" s="400"/>
      <c r="H1113" s="400"/>
    </row>
    <row r="1114" spans="5:8">
      <c r="E1114" s="400"/>
      <c r="F1114" s="400"/>
      <c r="G1114" s="400"/>
      <c r="H1114" s="400"/>
    </row>
    <row r="1115" spans="5:8">
      <c r="E1115" s="400"/>
      <c r="F1115" s="400"/>
      <c r="G1115" s="400"/>
      <c r="H1115" s="400"/>
    </row>
    <row r="1116" spans="5:8">
      <c r="E1116" s="400"/>
      <c r="F1116" s="400"/>
      <c r="G1116" s="400"/>
      <c r="H1116" s="400"/>
    </row>
    <row r="1117" spans="5:8">
      <c r="E1117" s="400"/>
      <c r="F1117" s="400"/>
      <c r="G1117" s="400"/>
      <c r="H1117" s="400"/>
    </row>
    <row r="1118" spans="5:8">
      <c r="E1118" s="400"/>
      <c r="F1118" s="400"/>
      <c r="G1118" s="400"/>
      <c r="H1118" s="400"/>
    </row>
    <row r="1119" spans="5:8">
      <c r="E1119" s="400"/>
      <c r="F1119" s="400"/>
      <c r="G1119" s="400"/>
      <c r="H1119" s="400"/>
    </row>
    <row r="1120" spans="5:8">
      <c r="E1120" s="400"/>
      <c r="F1120" s="400"/>
      <c r="G1120" s="400"/>
      <c r="H1120" s="400"/>
    </row>
    <row r="1121" spans="5:8">
      <c r="E1121" s="400"/>
      <c r="F1121" s="400"/>
      <c r="G1121" s="400"/>
      <c r="H1121" s="400"/>
    </row>
    <row r="1122" spans="5:8">
      <c r="E1122" s="400"/>
      <c r="F1122" s="400"/>
      <c r="G1122" s="400"/>
      <c r="H1122" s="400"/>
    </row>
    <row r="1123" spans="5:8">
      <c r="E1123" s="400"/>
      <c r="F1123" s="400"/>
      <c r="G1123" s="400"/>
      <c r="H1123" s="400"/>
    </row>
    <row r="1124" spans="5:8">
      <c r="E1124" s="400"/>
      <c r="F1124" s="400"/>
      <c r="G1124" s="400"/>
      <c r="H1124" s="400"/>
    </row>
    <row r="1125" spans="5:8">
      <c r="E1125" s="400"/>
      <c r="F1125" s="400"/>
      <c r="G1125" s="400"/>
      <c r="H1125" s="400"/>
    </row>
    <row r="1126" spans="5:8">
      <c r="E1126" s="400"/>
      <c r="F1126" s="400"/>
      <c r="G1126" s="400"/>
      <c r="H1126" s="400"/>
    </row>
    <row r="1127" spans="5:8">
      <c r="E1127" s="400"/>
      <c r="F1127" s="400"/>
      <c r="G1127" s="400"/>
      <c r="H1127" s="400"/>
    </row>
    <row r="1128" spans="5:8">
      <c r="E1128" s="400"/>
      <c r="F1128" s="400"/>
      <c r="G1128" s="400"/>
      <c r="H1128" s="400"/>
    </row>
    <row r="1129" spans="5:8">
      <c r="E1129" s="400"/>
      <c r="F1129" s="400"/>
      <c r="G1129" s="400"/>
      <c r="H1129" s="400"/>
    </row>
    <row r="1130" spans="5:8">
      <c r="E1130" s="400"/>
      <c r="F1130" s="400"/>
      <c r="G1130" s="400"/>
      <c r="H1130" s="400"/>
    </row>
    <row r="1131" spans="5:8">
      <c r="E1131" s="400"/>
      <c r="F1131" s="400"/>
      <c r="G1131" s="400"/>
      <c r="H1131" s="400"/>
    </row>
    <row r="1132" spans="5:8">
      <c r="E1132" s="400"/>
      <c r="F1132" s="400"/>
      <c r="G1132" s="400"/>
      <c r="H1132" s="400"/>
    </row>
    <row r="1133" spans="5:8">
      <c r="E1133" s="400"/>
      <c r="F1133" s="400"/>
      <c r="G1133" s="400"/>
      <c r="H1133" s="400"/>
    </row>
    <row r="1134" spans="5:8">
      <c r="E1134" s="400"/>
      <c r="F1134" s="400"/>
      <c r="G1134" s="400"/>
      <c r="H1134" s="400"/>
    </row>
    <row r="1135" spans="5:8">
      <c r="E1135" s="400"/>
      <c r="F1135" s="400"/>
      <c r="G1135" s="400"/>
      <c r="H1135" s="400"/>
    </row>
    <row r="1136" spans="5:8">
      <c r="E1136" s="400"/>
      <c r="F1136" s="400"/>
      <c r="G1136" s="400"/>
      <c r="H1136" s="400"/>
    </row>
    <row r="1137" spans="5:8">
      <c r="E1137" s="400"/>
      <c r="F1137" s="400"/>
      <c r="G1137" s="400"/>
      <c r="H1137" s="400"/>
    </row>
    <row r="1138" spans="5:8">
      <c r="E1138" s="400"/>
      <c r="F1138" s="400"/>
      <c r="G1138" s="400"/>
      <c r="H1138" s="400"/>
    </row>
    <row r="1139" spans="5:8">
      <c r="E1139" s="400"/>
      <c r="F1139" s="400"/>
      <c r="G1139" s="400"/>
      <c r="H1139" s="400"/>
    </row>
    <row r="1140" spans="5:8">
      <c r="E1140" s="400"/>
      <c r="F1140" s="400"/>
      <c r="G1140" s="400"/>
      <c r="H1140" s="400"/>
    </row>
    <row r="1141" spans="5:8">
      <c r="E1141" s="400"/>
      <c r="F1141" s="400"/>
      <c r="G1141" s="400"/>
      <c r="H1141" s="400"/>
    </row>
    <row r="1142" spans="5:8">
      <c r="E1142" s="400"/>
      <c r="F1142" s="400"/>
      <c r="G1142" s="400"/>
      <c r="H1142" s="400"/>
    </row>
    <row r="1143" spans="5:8">
      <c r="E1143" s="400"/>
      <c r="F1143" s="400"/>
      <c r="G1143" s="400"/>
      <c r="H1143" s="400"/>
    </row>
    <row r="1144" spans="5:8">
      <c r="E1144" s="400"/>
      <c r="F1144" s="400"/>
      <c r="G1144" s="400"/>
      <c r="H1144" s="400"/>
    </row>
    <row r="1145" spans="5:8">
      <c r="E1145" s="400"/>
      <c r="F1145" s="400"/>
      <c r="G1145" s="400"/>
      <c r="H1145" s="400"/>
    </row>
    <row r="1146" spans="5:8">
      <c r="E1146" s="400"/>
      <c r="F1146" s="400"/>
      <c r="G1146" s="400"/>
      <c r="H1146" s="400"/>
    </row>
    <row r="1147" spans="5:8">
      <c r="E1147" s="400"/>
      <c r="F1147" s="400"/>
      <c r="G1147" s="400"/>
      <c r="H1147" s="400"/>
    </row>
    <row r="1148" spans="5:8">
      <c r="E1148" s="400"/>
      <c r="F1148" s="400"/>
      <c r="G1148" s="400"/>
      <c r="H1148" s="400"/>
    </row>
    <row r="1149" spans="5:8">
      <c r="E1149" s="400"/>
      <c r="F1149" s="400"/>
      <c r="G1149" s="400"/>
      <c r="H1149" s="400"/>
    </row>
    <row r="1150" spans="5:8">
      <c r="E1150" s="400"/>
      <c r="F1150" s="400"/>
      <c r="G1150" s="400"/>
      <c r="H1150" s="400"/>
    </row>
    <row r="1151" spans="5:8">
      <c r="E1151" s="400"/>
      <c r="F1151" s="400"/>
      <c r="G1151" s="400"/>
      <c r="H1151" s="400"/>
    </row>
    <row r="1152" spans="5:8">
      <c r="E1152" s="400"/>
      <c r="F1152" s="400"/>
      <c r="G1152" s="400"/>
      <c r="H1152" s="400"/>
    </row>
    <row r="1153" spans="5:8">
      <c r="E1153" s="400"/>
      <c r="F1153" s="400"/>
      <c r="G1153" s="400"/>
      <c r="H1153" s="400"/>
    </row>
    <row r="1154" spans="5:8">
      <c r="E1154" s="400"/>
      <c r="F1154" s="400"/>
      <c r="G1154" s="400"/>
      <c r="H1154" s="400"/>
    </row>
    <row r="1155" spans="5:8">
      <c r="E1155" s="400"/>
      <c r="F1155" s="400"/>
      <c r="G1155" s="400"/>
      <c r="H1155" s="400"/>
    </row>
    <row r="1156" spans="5:8">
      <c r="E1156" s="400"/>
      <c r="F1156" s="400"/>
      <c r="G1156" s="400"/>
      <c r="H1156" s="400"/>
    </row>
    <row r="1157" spans="5:8">
      <c r="E1157" s="400"/>
      <c r="F1157" s="400"/>
      <c r="G1157" s="400"/>
      <c r="H1157" s="400"/>
    </row>
    <row r="1158" spans="5:8">
      <c r="E1158" s="400"/>
      <c r="F1158" s="400"/>
      <c r="G1158" s="400"/>
      <c r="H1158" s="400"/>
    </row>
    <row r="1159" spans="5:8">
      <c r="E1159" s="400"/>
      <c r="F1159" s="400"/>
      <c r="G1159" s="400"/>
      <c r="H1159" s="400"/>
    </row>
    <row r="1160" spans="5:8">
      <c r="E1160" s="400"/>
      <c r="F1160" s="400"/>
      <c r="G1160" s="400"/>
      <c r="H1160" s="400"/>
    </row>
    <row r="1161" spans="5:8">
      <c r="E1161" s="400"/>
      <c r="F1161" s="400"/>
      <c r="G1161" s="400"/>
      <c r="H1161" s="400"/>
    </row>
    <row r="1162" spans="5:8">
      <c r="E1162" s="400"/>
      <c r="F1162" s="400"/>
      <c r="G1162" s="400"/>
      <c r="H1162" s="400"/>
    </row>
    <row r="1163" spans="5:8">
      <c r="E1163" s="400"/>
      <c r="F1163" s="400"/>
      <c r="G1163" s="400"/>
      <c r="H1163" s="400"/>
    </row>
    <row r="1164" spans="5:8">
      <c r="E1164" s="400"/>
      <c r="F1164" s="400"/>
      <c r="G1164" s="400"/>
      <c r="H1164" s="400"/>
    </row>
    <row r="1165" spans="5:8">
      <c r="E1165" s="400"/>
      <c r="F1165" s="400"/>
      <c r="G1165" s="400"/>
      <c r="H1165" s="400"/>
    </row>
    <row r="1166" spans="5:8">
      <c r="E1166" s="400"/>
      <c r="F1166" s="400"/>
      <c r="G1166" s="400"/>
      <c r="H1166" s="400"/>
    </row>
    <row r="1167" spans="5:8">
      <c r="E1167" s="400"/>
      <c r="F1167" s="400"/>
      <c r="G1167" s="400"/>
      <c r="H1167" s="400"/>
    </row>
    <row r="1168" spans="5:8">
      <c r="E1168" s="400"/>
      <c r="F1168" s="400"/>
      <c r="G1168" s="400"/>
      <c r="H1168" s="400"/>
    </row>
    <row r="1169" spans="5:8">
      <c r="E1169" s="400"/>
      <c r="F1169" s="400"/>
      <c r="G1169" s="400"/>
      <c r="H1169" s="400"/>
    </row>
    <row r="1170" spans="5:8">
      <c r="E1170" s="400"/>
      <c r="F1170" s="400"/>
      <c r="G1170" s="400"/>
      <c r="H1170" s="400"/>
    </row>
    <row r="1171" spans="5:8">
      <c r="E1171" s="400"/>
      <c r="F1171" s="400"/>
      <c r="G1171" s="400"/>
      <c r="H1171" s="400"/>
    </row>
    <row r="1172" spans="5:8">
      <c r="E1172" s="400"/>
      <c r="F1172" s="400"/>
      <c r="G1172" s="400"/>
      <c r="H1172" s="400"/>
    </row>
    <row r="1173" spans="5:8">
      <c r="E1173" s="400"/>
      <c r="F1173" s="400"/>
      <c r="G1173" s="400"/>
      <c r="H1173" s="400"/>
    </row>
    <row r="1174" spans="5:8">
      <c r="E1174" s="400"/>
      <c r="F1174" s="400"/>
      <c r="G1174" s="400"/>
      <c r="H1174" s="400"/>
    </row>
    <row r="1175" spans="5:8">
      <c r="E1175" s="400"/>
      <c r="F1175" s="400"/>
      <c r="G1175" s="400"/>
      <c r="H1175" s="400"/>
    </row>
    <row r="1176" spans="5:8">
      <c r="E1176" s="400"/>
      <c r="F1176" s="400"/>
      <c r="G1176" s="400"/>
      <c r="H1176" s="400"/>
    </row>
    <row r="1177" spans="5:8">
      <c r="E1177" s="400"/>
      <c r="F1177" s="400"/>
      <c r="G1177" s="400"/>
      <c r="H1177" s="400"/>
    </row>
    <row r="1178" spans="5:8">
      <c r="E1178" s="400"/>
      <c r="F1178" s="400"/>
      <c r="G1178" s="400"/>
      <c r="H1178" s="400"/>
    </row>
    <row r="1179" spans="5:8">
      <c r="E1179" s="400"/>
      <c r="F1179" s="400"/>
      <c r="G1179" s="400"/>
      <c r="H1179" s="400"/>
    </row>
    <row r="1180" spans="5:8">
      <c r="E1180" s="400"/>
      <c r="F1180" s="400"/>
      <c r="G1180" s="400"/>
      <c r="H1180" s="400"/>
    </row>
    <row r="1181" spans="5:8">
      <c r="E1181" s="400"/>
      <c r="F1181" s="400"/>
      <c r="G1181" s="400"/>
      <c r="H1181" s="400"/>
    </row>
    <row r="1182" spans="5:8">
      <c r="E1182" s="400"/>
      <c r="F1182" s="400"/>
      <c r="G1182" s="400"/>
      <c r="H1182" s="400"/>
    </row>
    <row r="1183" spans="5:8">
      <c r="E1183" s="400"/>
      <c r="F1183" s="400"/>
      <c r="G1183" s="400"/>
      <c r="H1183" s="400"/>
    </row>
    <row r="1184" spans="5:8">
      <c r="E1184" s="400"/>
      <c r="F1184" s="400"/>
      <c r="G1184" s="400"/>
      <c r="H1184" s="400"/>
    </row>
    <row r="1185" spans="5:8">
      <c r="E1185" s="400"/>
      <c r="F1185" s="400"/>
      <c r="G1185" s="400"/>
      <c r="H1185" s="400"/>
    </row>
    <row r="1186" spans="5:8">
      <c r="E1186" s="400"/>
      <c r="F1186" s="400"/>
      <c r="G1186" s="400"/>
      <c r="H1186" s="400"/>
    </row>
    <row r="1187" spans="5:8">
      <c r="E1187" s="400"/>
      <c r="F1187" s="400"/>
      <c r="G1187" s="400"/>
      <c r="H1187" s="400"/>
    </row>
    <row r="1188" spans="5:8">
      <c r="E1188" s="400"/>
      <c r="F1188" s="400"/>
      <c r="G1188" s="400"/>
      <c r="H1188" s="400"/>
    </row>
    <row r="1189" spans="5:8">
      <c r="E1189" s="400"/>
      <c r="F1189" s="400"/>
      <c r="G1189" s="400"/>
      <c r="H1189" s="400"/>
    </row>
    <row r="1190" spans="5:8">
      <c r="E1190" s="400"/>
      <c r="F1190" s="400"/>
      <c r="G1190" s="400"/>
      <c r="H1190" s="400"/>
    </row>
    <row r="1191" spans="5:8">
      <c r="E1191" s="400"/>
      <c r="F1191" s="400"/>
      <c r="G1191" s="400"/>
      <c r="H1191" s="400"/>
    </row>
    <row r="1192" spans="5:8">
      <c r="E1192" s="400"/>
      <c r="F1192" s="400"/>
      <c r="G1192" s="400"/>
      <c r="H1192" s="400"/>
    </row>
    <row r="1193" spans="5:8">
      <c r="E1193" s="400"/>
      <c r="F1193" s="400"/>
      <c r="G1193" s="400"/>
      <c r="H1193" s="400"/>
    </row>
    <row r="1194" spans="5:8">
      <c r="E1194" s="400"/>
      <c r="F1194" s="400"/>
      <c r="G1194" s="400"/>
      <c r="H1194" s="400"/>
    </row>
    <row r="1195" spans="5:8">
      <c r="E1195" s="400"/>
      <c r="F1195" s="400"/>
      <c r="G1195" s="400"/>
      <c r="H1195" s="400"/>
    </row>
    <row r="1196" spans="5:8">
      <c r="E1196" s="400"/>
      <c r="F1196" s="400"/>
      <c r="G1196" s="400"/>
      <c r="H1196" s="400"/>
    </row>
    <row r="1197" spans="5:8">
      <c r="E1197" s="400"/>
      <c r="F1197" s="400"/>
      <c r="G1197" s="400"/>
      <c r="H1197" s="400"/>
    </row>
    <row r="1198" spans="5:8">
      <c r="E1198" s="400"/>
      <c r="F1198" s="400"/>
      <c r="G1198" s="400"/>
      <c r="H1198" s="400"/>
    </row>
    <row r="1199" spans="5:8">
      <c r="E1199" s="400"/>
      <c r="F1199" s="400"/>
      <c r="G1199" s="400"/>
      <c r="H1199" s="400"/>
    </row>
    <row r="1200" spans="5:8">
      <c r="E1200" s="400"/>
      <c r="F1200" s="400"/>
      <c r="G1200" s="400"/>
      <c r="H1200" s="400"/>
    </row>
    <row r="1201" spans="5:8">
      <c r="E1201" s="400"/>
      <c r="F1201" s="400"/>
      <c r="G1201" s="400"/>
      <c r="H1201" s="400"/>
    </row>
    <row r="1202" spans="5:8">
      <c r="E1202" s="400"/>
      <c r="F1202" s="400"/>
      <c r="G1202" s="400"/>
      <c r="H1202" s="400"/>
    </row>
    <row r="1203" spans="5:8">
      <c r="E1203" s="400"/>
      <c r="F1203" s="400"/>
      <c r="G1203" s="400"/>
      <c r="H1203" s="400"/>
    </row>
    <row r="1204" spans="5:8">
      <c r="E1204" s="400"/>
      <c r="F1204" s="400"/>
      <c r="G1204" s="400"/>
      <c r="H1204" s="400"/>
    </row>
    <row r="1205" spans="5:8">
      <c r="E1205" s="400"/>
      <c r="F1205" s="400"/>
      <c r="G1205" s="400"/>
      <c r="H1205" s="400"/>
    </row>
    <row r="1206" spans="5:8">
      <c r="E1206" s="400"/>
      <c r="F1206" s="400"/>
      <c r="G1206" s="400"/>
      <c r="H1206" s="400"/>
    </row>
    <row r="1207" spans="5:8">
      <c r="E1207" s="400"/>
      <c r="F1207" s="400"/>
      <c r="G1207" s="400"/>
      <c r="H1207" s="400"/>
    </row>
    <row r="1208" spans="5:8">
      <c r="E1208" s="400"/>
      <c r="F1208" s="400"/>
      <c r="G1208" s="400"/>
      <c r="H1208" s="400"/>
    </row>
    <row r="1209" spans="5:8">
      <c r="E1209" s="400"/>
      <c r="F1209" s="400"/>
      <c r="G1209" s="400"/>
      <c r="H1209" s="400"/>
    </row>
    <row r="1210" spans="5:8">
      <c r="E1210" s="400"/>
      <c r="F1210" s="400"/>
      <c r="G1210" s="400"/>
      <c r="H1210" s="400"/>
    </row>
    <row r="1211" spans="5:8">
      <c r="E1211" s="400"/>
      <c r="F1211" s="400"/>
      <c r="G1211" s="400"/>
      <c r="H1211" s="400"/>
    </row>
    <row r="1212" spans="5:8">
      <c r="E1212" s="400"/>
      <c r="F1212" s="400"/>
      <c r="G1212" s="400"/>
      <c r="H1212" s="400"/>
    </row>
    <row r="1213" spans="5:8">
      <c r="E1213" s="400"/>
      <c r="F1213" s="400"/>
      <c r="G1213" s="400"/>
      <c r="H1213" s="400"/>
    </row>
    <row r="1214" spans="5:8">
      <c r="E1214" s="400"/>
      <c r="F1214" s="400"/>
      <c r="G1214" s="400"/>
      <c r="H1214" s="400"/>
    </row>
    <row r="1215" spans="5:8">
      <c r="E1215" s="400"/>
      <c r="F1215" s="400"/>
      <c r="G1215" s="400"/>
      <c r="H1215" s="400"/>
    </row>
    <row r="1216" spans="5:8">
      <c r="E1216" s="400"/>
      <c r="F1216" s="400"/>
      <c r="G1216" s="400"/>
      <c r="H1216" s="400"/>
    </row>
    <row r="1217" spans="5:8">
      <c r="E1217" s="400"/>
      <c r="F1217" s="400"/>
      <c r="G1217" s="400"/>
      <c r="H1217" s="400"/>
    </row>
    <row r="1218" spans="5:8">
      <c r="E1218" s="400"/>
      <c r="F1218" s="400"/>
      <c r="G1218" s="400"/>
      <c r="H1218" s="400"/>
    </row>
    <row r="1219" spans="5:8">
      <c r="E1219" s="400"/>
      <c r="F1219" s="400"/>
      <c r="G1219" s="400"/>
      <c r="H1219" s="400"/>
    </row>
    <row r="1220" spans="5:8">
      <c r="E1220" s="400"/>
      <c r="F1220" s="400"/>
      <c r="G1220" s="400"/>
      <c r="H1220" s="400"/>
    </row>
    <row r="1221" spans="5:8">
      <c r="E1221" s="400"/>
      <c r="F1221" s="400"/>
      <c r="G1221" s="400"/>
      <c r="H1221" s="400"/>
    </row>
    <row r="1222" spans="5:8">
      <c r="E1222" s="400"/>
      <c r="F1222" s="400"/>
      <c r="G1222" s="400"/>
      <c r="H1222" s="400"/>
    </row>
    <row r="1223" spans="5:8">
      <c r="E1223" s="400"/>
      <c r="F1223" s="400"/>
      <c r="G1223" s="400"/>
      <c r="H1223" s="400"/>
    </row>
    <row r="1224" spans="5:8">
      <c r="E1224" s="400"/>
      <c r="F1224" s="400"/>
      <c r="G1224" s="400"/>
      <c r="H1224" s="400"/>
    </row>
    <row r="1225" spans="5:8">
      <c r="E1225" s="400"/>
      <c r="F1225" s="400"/>
      <c r="G1225" s="400"/>
      <c r="H1225" s="400"/>
    </row>
    <row r="1226" spans="5:8">
      <c r="E1226" s="400"/>
      <c r="F1226" s="400"/>
      <c r="G1226" s="400"/>
      <c r="H1226" s="400"/>
    </row>
    <row r="1227" spans="5:8">
      <c r="E1227" s="400"/>
      <c r="F1227" s="400"/>
      <c r="G1227" s="400"/>
      <c r="H1227" s="400"/>
    </row>
    <row r="1228" spans="5:8">
      <c r="E1228" s="400"/>
      <c r="F1228" s="400"/>
      <c r="G1228" s="400"/>
      <c r="H1228" s="400"/>
    </row>
    <row r="1229" spans="5:8">
      <c r="E1229" s="400"/>
      <c r="F1229" s="400"/>
      <c r="G1229" s="400"/>
      <c r="H1229" s="400"/>
    </row>
    <row r="1230" spans="5:8">
      <c r="E1230" s="400"/>
      <c r="F1230" s="400"/>
      <c r="G1230" s="400"/>
      <c r="H1230" s="400"/>
    </row>
    <row r="1231" spans="5:8">
      <c r="E1231" s="400"/>
      <c r="F1231" s="400"/>
      <c r="G1231" s="400"/>
      <c r="H1231" s="400"/>
    </row>
    <row r="1232" spans="5:8">
      <c r="E1232" s="400"/>
      <c r="F1232" s="400"/>
      <c r="G1232" s="400"/>
      <c r="H1232" s="400"/>
    </row>
    <row r="1233" spans="5:8">
      <c r="E1233" s="400"/>
      <c r="F1233" s="400"/>
      <c r="G1233" s="400"/>
      <c r="H1233" s="400"/>
    </row>
    <row r="1234" spans="5:8">
      <c r="E1234" s="400"/>
      <c r="F1234" s="400"/>
      <c r="G1234" s="400"/>
      <c r="H1234" s="400"/>
    </row>
    <row r="1235" spans="5:8">
      <c r="E1235" s="400"/>
      <c r="F1235" s="400"/>
      <c r="G1235" s="400"/>
      <c r="H1235" s="400"/>
    </row>
    <row r="1236" spans="5:8">
      <c r="E1236" s="400"/>
      <c r="F1236" s="400"/>
      <c r="G1236" s="400"/>
      <c r="H1236" s="400"/>
    </row>
    <row r="1237" spans="5:8">
      <c r="E1237" s="400"/>
      <c r="F1237" s="400"/>
      <c r="G1237" s="400"/>
      <c r="H1237" s="400"/>
    </row>
    <row r="1238" spans="5:8">
      <c r="E1238" s="400"/>
      <c r="F1238" s="400"/>
      <c r="G1238" s="400"/>
      <c r="H1238" s="400"/>
    </row>
    <row r="1239" spans="5:8">
      <c r="E1239" s="400"/>
      <c r="F1239" s="400"/>
      <c r="G1239" s="400"/>
      <c r="H1239" s="400"/>
    </row>
    <row r="1240" spans="5:8">
      <c r="E1240" s="400"/>
      <c r="F1240" s="400"/>
      <c r="G1240" s="400"/>
      <c r="H1240" s="400"/>
    </row>
    <row r="1241" spans="5:8">
      <c r="E1241" s="400"/>
      <c r="F1241" s="400"/>
      <c r="G1241" s="400"/>
      <c r="H1241" s="400"/>
    </row>
    <row r="1242" spans="5:8">
      <c r="E1242" s="400"/>
      <c r="F1242" s="400"/>
      <c r="G1242" s="400"/>
      <c r="H1242" s="400"/>
    </row>
    <row r="1243" spans="5:8">
      <c r="E1243" s="400"/>
      <c r="F1243" s="400"/>
      <c r="G1243" s="400"/>
      <c r="H1243" s="400"/>
    </row>
    <row r="1244" spans="5:8">
      <c r="E1244" s="400"/>
      <c r="F1244" s="400"/>
      <c r="G1244" s="400"/>
      <c r="H1244" s="400"/>
    </row>
    <row r="1245" spans="5:8">
      <c r="E1245" s="400"/>
      <c r="F1245" s="400"/>
      <c r="G1245" s="400"/>
      <c r="H1245" s="400"/>
    </row>
    <row r="1246" spans="5:8">
      <c r="E1246" s="400"/>
      <c r="F1246" s="400"/>
      <c r="G1246" s="400"/>
      <c r="H1246" s="400"/>
    </row>
    <row r="1247" spans="5:8">
      <c r="E1247" s="400"/>
      <c r="F1247" s="400"/>
      <c r="G1247" s="400"/>
      <c r="H1247" s="400"/>
    </row>
    <row r="1248" spans="5:8">
      <c r="E1248" s="400"/>
      <c r="F1248" s="400"/>
      <c r="G1248" s="400"/>
      <c r="H1248" s="400"/>
    </row>
    <row r="1249" spans="5:8">
      <c r="E1249" s="400"/>
      <c r="F1249" s="400"/>
      <c r="G1249" s="400"/>
      <c r="H1249" s="400"/>
    </row>
    <row r="1250" spans="5:8">
      <c r="E1250" s="400"/>
      <c r="F1250" s="400"/>
      <c r="G1250" s="400"/>
      <c r="H1250" s="400"/>
    </row>
    <row r="1251" spans="5:8">
      <c r="E1251" s="400"/>
      <c r="F1251" s="400"/>
      <c r="G1251" s="400"/>
      <c r="H1251" s="400"/>
    </row>
    <row r="1252" spans="5:8">
      <c r="E1252" s="400"/>
      <c r="F1252" s="400"/>
      <c r="G1252" s="400"/>
      <c r="H1252" s="400"/>
    </row>
    <row r="1253" spans="5:8">
      <c r="E1253" s="400"/>
      <c r="F1253" s="400"/>
      <c r="G1253" s="400"/>
      <c r="H1253" s="400"/>
    </row>
    <row r="1254" spans="5:8">
      <c r="E1254" s="400"/>
      <c r="F1254" s="400"/>
      <c r="G1254" s="400"/>
      <c r="H1254" s="400"/>
    </row>
    <row r="1255" spans="5:8">
      <c r="E1255" s="400"/>
      <c r="F1255" s="400"/>
      <c r="G1255" s="400"/>
      <c r="H1255" s="400"/>
    </row>
    <row r="1256" spans="5:8">
      <c r="E1256" s="400"/>
      <c r="F1256" s="400"/>
      <c r="G1256" s="400"/>
      <c r="H1256" s="400"/>
    </row>
    <row r="1257" spans="5:8">
      <c r="E1257" s="400"/>
      <c r="F1257" s="400"/>
      <c r="G1257" s="400"/>
      <c r="H1257" s="400"/>
    </row>
    <row r="1258" spans="5:8">
      <c r="E1258" s="400"/>
      <c r="F1258" s="400"/>
      <c r="G1258" s="400"/>
      <c r="H1258" s="400"/>
    </row>
    <row r="1259" spans="5:8">
      <c r="E1259" s="400"/>
      <c r="F1259" s="400"/>
      <c r="G1259" s="400"/>
      <c r="H1259" s="400"/>
    </row>
    <row r="1260" spans="5:8">
      <c r="E1260" s="400"/>
      <c r="F1260" s="400"/>
      <c r="G1260" s="400"/>
      <c r="H1260" s="400"/>
    </row>
    <row r="1261" spans="5:8">
      <c r="E1261" s="400"/>
      <c r="F1261" s="400"/>
      <c r="G1261" s="400"/>
      <c r="H1261" s="400"/>
    </row>
    <row r="1262" spans="5:8">
      <c r="E1262" s="400"/>
      <c r="F1262" s="400"/>
      <c r="G1262" s="400"/>
      <c r="H1262" s="400"/>
    </row>
    <row r="1263" spans="5:8">
      <c r="E1263" s="400"/>
      <c r="F1263" s="400"/>
      <c r="G1263" s="400"/>
      <c r="H1263" s="400"/>
    </row>
    <row r="1264" spans="5:8">
      <c r="E1264" s="400"/>
      <c r="F1264" s="400"/>
      <c r="G1264" s="400"/>
      <c r="H1264" s="400"/>
    </row>
    <row r="1265" spans="5:8">
      <c r="E1265" s="400"/>
      <c r="F1265" s="400"/>
      <c r="G1265" s="400"/>
      <c r="H1265" s="400"/>
    </row>
    <row r="1266" spans="5:8">
      <c r="E1266" s="400"/>
      <c r="F1266" s="400"/>
      <c r="G1266" s="400"/>
      <c r="H1266" s="400"/>
    </row>
    <row r="1267" spans="5:8">
      <c r="E1267" s="400"/>
      <c r="F1267" s="400"/>
      <c r="G1267" s="400"/>
      <c r="H1267" s="400"/>
    </row>
    <row r="1268" spans="5:8">
      <c r="E1268" s="400"/>
      <c r="F1268" s="400"/>
      <c r="G1268" s="400"/>
      <c r="H1268" s="400"/>
    </row>
    <row r="1269" spans="5:8">
      <c r="E1269" s="400"/>
      <c r="F1269" s="400"/>
      <c r="G1269" s="400"/>
      <c r="H1269" s="400"/>
    </row>
    <row r="1270" spans="5:8">
      <c r="E1270" s="400"/>
      <c r="F1270" s="400"/>
      <c r="G1270" s="400"/>
      <c r="H1270" s="400"/>
    </row>
    <row r="1271" spans="5:8">
      <c r="E1271" s="400"/>
      <c r="F1271" s="400"/>
      <c r="G1271" s="400"/>
      <c r="H1271" s="400"/>
    </row>
    <row r="1272" spans="5:8">
      <c r="E1272" s="400"/>
      <c r="F1272" s="400"/>
      <c r="G1272" s="400"/>
      <c r="H1272" s="400"/>
    </row>
    <row r="1273" spans="5:8">
      <c r="E1273" s="400"/>
      <c r="F1273" s="400"/>
      <c r="G1273" s="400"/>
      <c r="H1273" s="400"/>
    </row>
    <row r="1274" spans="5:8">
      <c r="E1274" s="400"/>
      <c r="F1274" s="400"/>
      <c r="G1274" s="400"/>
      <c r="H1274" s="400"/>
    </row>
    <row r="1275" spans="5:8">
      <c r="E1275" s="400"/>
      <c r="F1275" s="400"/>
      <c r="G1275" s="400"/>
      <c r="H1275" s="400"/>
    </row>
    <row r="1276" spans="5:8">
      <c r="E1276" s="400"/>
      <c r="F1276" s="400"/>
      <c r="G1276" s="400"/>
      <c r="H1276" s="400"/>
    </row>
    <row r="1277" spans="5:8">
      <c r="E1277" s="400"/>
      <c r="F1277" s="400"/>
      <c r="G1277" s="400"/>
      <c r="H1277" s="400"/>
    </row>
    <row r="1278" spans="5:8">
      <c r="E1278" s="400"/>
      <c r="F1278" s="400"/>
      <c r="G1278" s="400"/>
      <c r="H1278" s="400"/>
    </row>
    <row r="1279" spans="5:8">
      <c r="E1279" s="400"/>
      <c r="F1279" s="400"/>
      <c r="G1279" s="400"/>
      <c r="H1279" s="400"/>
    </row>
    <row r="1280" spans="5:8">
      <c r="E1280" s="400"/>
      <c r="F1280" s="400"/>
      <c r="G1280" s="400"/>
      <c r="H1280" s="400"/>
    </row>
    <row r="1281" spans="5:8">
      <c r="E1281" s="400"/>
      <c r="F1281" s="400"/>
      <c r="G1281" s="400"/>
      <c r="H1281" s="400"/>
    </row>
    <row r="1282" spans="5:8">
      <c r="E1282" s="400"/>
      <c r="F1282" s="400"/>
      <c r="G1282" s="400"/>
      <c r="H1282" s="400"/>
    </row>
    <row r="1283" spans="5:8">
      <c r="E1283" s="400"/>
      <c r="F1283" s="400"/>
      <c r="G1283" s="400"/>
      <c r="H1283" s="400"/>
    </row>
    <row r="1284" spans="5:8">
      <c r="E1284" s="400"/>
      <c r="F1284" s="400"/>
      <c r="G1284" s="400"/>
      <c r="H1284" s="400"/>
    </row>
    <row r="1285" spans="5:8">
      <c r="E1285" s="400"/>
      <c r="F1285" s="400"/>
      <c r="G1285" s="400"/>
      <c r="H1285" s="400"/>
    </row>
    <row r="1286" spans="5:8">
      <c r="E1286" s="400"/>
      <c r="F1286" s="400"/>
      <c r="G1286" s="400"/>
      <c r="H1286" s="400"/>
    </row>
    <row r="1287" spans="5:8">
      <c r="E1287" s="400"/>
      <c r="F1287" s="400"/>
      <c r="G1287" s="400"/>
      <c r="H1287" s="400"/>
    </row>
    <row r="1288" spans="5:8">
      <c r="E1288" s="400"/>
      <c r="F1288" s="400"/>
      <c r="G1288" s="400"/>
      <c r="H1288" s="400"/>
    </row>
    <row r="1289" spans="5:8">
      <c r="E1289" s="400"/>
      <c r="F1289" s="400"/>
      <c r="G1289" s="400"/>
      <c r="H1289" s="400"/>
    </row>
    <row r="1290" spans="5:8">
      <c r="E1290" s="400"/>
      <c r="F1290" s="400"/>
      <c r="G1290" s="400"/>
      <c r="H1290" s="400"/>
    </row>
    <row r="1291" spans="5:8">
      <c r="E1291" s="400"/>
      <c r="F1291" s="400"/>
      <c r="G1291" s="400"/>
      <c r="H1291" s="400"/>
    </row>
    <row r="1292" spans="5:8">
      <c r="E1292" s="400"/>
      <c r="F1292" s="400"/>
      <c r="G1292" s="400"/>
      <c r="H1292" s="400"/>
    </row>
    <row r="1293" spans="5:8">
      <c r="E1293" s="400"/>
      <c r="F1293" s="400"/>
      <c r="G1293" s="400"/>
      <c r="H1293" s="400"/>
    </row>
    <row r="1294" spans="5:8">
      <c r="E1294" s="400"/>
      <c r="F1294" s="400"/>
      <c r="G1294" s="400"/>
      <c r="H1294" s="400"/>
    </row>
    <row r="1295" spans="5:8">
      <c r="E1295" s="400"/>
      <c r="F1295" s="400"/>
      <c r="G1295" s="400"/>
      <c r="H1295" s="400"/>
    </row>
    <row r="1296" spans="5:8">
      <c r="E1296" s="400"/>
      <c r="F1296" s="400"/>
      <c r="G1296" s="400"/>
      <c r="H1296" s="400"/>
    </row>
    <row r="1297" spans="5:8">
      <c r="E1297" s="400"/>
      <c r="F1297" s="400"/>
      <c r="G1297" s="400"/>
      <c r="H1297" s="400"/>
    </row>
    <row r="1298" spans="5:8">
      <c r="E1298" s="400"/>
      <c r="F1298" s="400"/>
      <c r="G1298" s="400"/>
      <c r="H1298" s="400"/>
    </row>
    <row r="1299" spans="5:8">
      <c r="E1299" s="400"/>
      <c r="F1299" s="400"/>
      <c r="G1299" s="400"/>
      <c r="H1299" s="400"/>
    </row>
    <row r="1300" spans="5:8">
      <c r="E1300" s="400"/>
      <c r="F1300" s="400"/>
      <c r="G1300" s="400"/>
      <c r="H1300" s="400"/>
    </row>
    <row r="1301" spans="5:8">
      <c r="E1301" s="400"/>
      <c r="F1301" s="400"/>
      <c r="G1301" s="400"/>
      <c r="H1301" s="400"/>
    </row>
    <row r="1302" spans="5:8">
      <c r="E1302" s="400"/>
      <c r="F1302" s="400"/>
      <c r="G1302" s="400"/>
      <c r="H1302" s="400"/>
    </row>
    <row r="1303" spans="5:8">
      <c r="E1303" s="400"/>
      <c r="F1303" s="400"/>
      <c r="G1303" s="400"/>
      <c r="H1303" s="400"/>
    </row>
    <row r="1304" spans="5:8">
      <c r="E1304" s="400"/>
      <c r="F1304" s="400"/>
      <c r="G1304" s="400"/>
      <c r="H1304" s="400"/>
    </row>
    <row r="1305" spans="5:8">
      <c r="E1305" s="400"/>
      <c r="F1305" s="400"/>
      <c r="G1305" s="400"/>
      <c r="H1305" s="400"/>
    </row>
    <row r="1306" spans="5:8">
      <c r="E1306" s="400"/>
      <c r="F1306" s="400"/>
      <c r="G1306" s="400"/>
      <c r="H1306" s="400"/>
    </row>
    <row r="1307" spans="5:8">
      <c r="E1307" s="400"/>
      <c r="F1307" s="400"/>
      <c r="G1307" s="400"/>
      <c r="H1307" s="400"/>
    </row>
    <row r="1308" spans="5:8">
      <c r="E1308" s="400"/>
      <c r="F1308" s="400"/>
      <c r="G1308" s="400"/>
      <c r="H1308" s="400"/>
    </row>
    <row r="1309" spans="5:8">
      <c r="E1309" s="400"/>
      <c r="F1309" s="400"/>
      <c r="G1309" s="400"/>
      <c r="H1309" s="400"/>
    </row>
    <row r="1310" spans="5:8">
      <c r="E1310" s="400"/>
      <c r="F1310" s="400"/>
      <c r="G1310" s="400"/>
      <c r="H1310" s="400"/>
    </row>
    <row r="1311" spans="5:8">
      <c r="E1311" s="400"/>
      <c r="F1311" s="400"/>
      <c r="G1311" s="400"/>
      <c r="H1311" s="400"/>
    </row>
    <row r="1312" spans="5:8">
      <c r="E1312" s="400"/>
      <c r="F1312" s="400"/>
      <c r="G1312" s="400"/>
      <c r="H1312" s="400"/>
    </row>
    <row r="1313" spans="5:8">
      <c r="E1313" s="400"/>
      <c r="F1313" s="400"/>
      <c r="G1313" s="400"/>
      <c r="H1313" s="400"/>
    </row>
    <row r="1314" spans="5:8">
      <c r="E1314" s="400"/>
      <c r="F1314" s="400"/>
      <c r="G1314" s="400"/>
      <c r="H1314" s="400"/>
    </row>
    <row r="1315" spans="5:8">
      <c r="E1315" s="400"/>
      <c r="F1315" s="400"/>
      <c r="G1315" s="400"/>
      <c r="H1315" s="400"/>
    </row>
    <row r="1316" spans="5:8">
      <c r="E1316" s="400"/>
      <c r="F1316" s="400"/>
      <c r="G1316" s="400"/>
      <c r="H1316" s="400"/>
    </row>
    <row r="1317" spans="5:8">
      <c r="E1317" s="400"/>
      <c r="F1317" s="400"/>
      <c r="G1317" s="400"/>
      <c r="H1317" s="400"/>
    </row>
    <row r="1318" spans="5:8">
      <c r="E1318" s="400"/>
      <c r="F1318" s="400"/>
      <c r="G1318" s="400"/>
      <c r="H1318" s="400"/>
    </row>
    <row r="1319" spans="5:8">
      <c r="E1319" s="400"/>
      <c r="F1319" s="400"/>
      <c r="G1319" s="400"/>
      <c r="H1319" s="400"/>
    </row>
    <row r="1320" spans="5:8">
      <c r="E1320" s="400"/>
      <c r="F1320" s="400"/>
      <c r="G1320" s="400"/>
      <c r="H1320" s="400"/>
    </row>
    <row r="1321" spans="5:8">
      <c r="E1321" s="400"/>
      <c r="F1321" s="400"/>
      <c r="G1321" s="400"/>
      <c r="H1321" s="400"/>
    </row>
    <row r="1322" spans="5:8">
      <c r="E1322" s="400"/>
      <c r="F1322" s="400"/>
      <c r="G1322" s="400"/>
      <c r="H1322" s="400"/>
    </row>
    <row r="1323" spans="5:8">
      <c r="E1323" s="400"/>
      <c r="F1323" s="400"/>
      <c r="G1323" s="400"/>
      <c r="H1323" s="400"/>
    </row>
    <row r="1324" spans="5:8">
      <c r="E1324" s="400"/>
      <c r="F1324" s="400"/>
      <c r="G1324" s="400"/>
      <c r="H1324" s="400"/>
    </row>
    <row r="1325" spans="5:8">
      <c r="E1325" s="400"/>
      <c r="F1325" s="400"/>
      <c r="G1325" s="400"/>
      <c r="H1325" s="400"/>
    </row>
    <row r="1326" spans="5:8">
      <c r="E1326" s="400"/>
      <c r="F1326" s="400"/>
      <c r="G1326" s="400"/>
      <c r="H1326" s="400"/>
    </row>
    <row r="1327" spans="5:8">
      <c r="E1327" s="400"/>
      <c r="F1327" s="400"/>
      <c r="G1327" s="400"/>
      <c r="H1327" s="400"/>
    </row>
    <row r="1328" spans="5:8">
      <c r="E1328" s="400"/>
      <c r="F1328" s="400"/>
      <c r="G1328" s="400"/>
      <c r="H1328" s="400"/>
    </row>
    <row r="1329" spans="5:8">
      <c r="E1329" s="400"/>
      <c r="F1329" s="400"/>
      <c r="G1329" s="400"/>
      <c r="H1329" s="400"/>
    </row>
    <row r="1330" spans="5:8">
      <c r="E1330" s="400"/>
      <c r="F1330" s="400"/>
      <c r="G1330" s="400"/>
      <c r="H1330" s="400"/>
    </row>
    <row r="1331" spans="5:8">
      <c r="E1331" s="400"/>
      <c r="F1331" s="400"/>
      <c r="G1331" s="400"/>
      <c r="H1331" s="400"/>
    </row>
    <row r="1332" spans="5:8">
      <c r="E1332" s="400"/>
      <c r="F1332" s="400"/>
      <c r="G1332" s="400"/>
      <c r="H1332" s="400"/>
    </row>
    <row r="1333" spans="5:8">
      <c r="E1333" s="400"/>
      <c r="F1333" s="400"/>
      <c r="G1333" s="400"/>
      <c r="H1333" s="400"/>
    </row>
    <row r="1334" spans="5:8">
      <c r="E1334" s="400"/>
      <c r="F1334" s="400"/>
      <c r="G1334" s="400"/>
      <c r="H1334" s="400"/>
    </row>
    <row r="1335" spans="5:8">
      <c r="E1335" s="400"/>
      <c r="F1335" s="400"/>
      <c r="G1335" s="400"/>
      <c r="H1335" s="400"/>
    </row>
    <row r="1336" spans="5:8">
      <c r="E1336" s="400"/>
      <c r="F1336" s="400"/>
      <c r="G1336" s="400"/>
      <c r="H1336" s="400"/>
    </row>
    <row r="1337" spans="5:8">
      <c r="E1337" s="400"/>
      <c r="F1337" s="400"/>
      <c r="G1337" s="400"/>
      <c r="H1337" s="400"/>
    </row>
  </sheetData>
  <mergeCells count="377">
    <mergeCell ref="L131:L136"/>
    <mergeCell ref="K143:K148"/>
    <mergeCell ref="K107:K112"/>
    <mergeCell ref="K113:K118"/>
    <mergeCell ref="K89:K93"/>
    <mergeCell ref="I13:I14"/>
    <mergeCell ref="O16:O82"/>
    <mergeCell ref="L44:L48"/>
    <mergeCell ref="J259:J262"/>
    <mergeCell ref="M229:M230"/>
    <mergeCell ref="J212:J214"/>
    <mergeCell ref="J215:J216"/>
    <mergeCell ref="J217:J218"/>
    <mergeCell ref="K261:K262"/>
    <mergeCell ref="L261:L262"/>
    <mergeCell ref="M261:M262"/>
    <mergeCell ref="N261:N262"/>
    <mergeCell ref="K212:K214"/>
    <mergeCell ref="M212:M214"/>
    <mergeCell ref="L212:L214"/>
    <mergeCell ref="J220:J223"/>
    <mergeCell ref="M242:M246"/>
    <mergeCell ref="M250:M253"/>
    <mergeCell ref="K258:P258"/>
    <mergeCell ref="P259:P260"/>
    <mergeCell ref="O261:O262"/>
    <mergeCell ref="L83:L87"/>
    <mergeCell ref="K83:K87"/>
    <mergeCell ref="N16:N82"/>
    <mergeCell ref="B4:M4"/>
    <mergeCell ref="B5:M5"/>
    <mergeCell ref="K31:K34"/>
    <mergeCell ref="L35:L39"/>
    <mergeCell ref="K22:K24"/>
    <mergeCell ref="L22:L24"/>
    <mergeCell ref="K26:K29"/>
    <mergeCell ref="K13:K14"/>
    <mergeCell ref="C13:C14"/>
    <mergeCell ref="D13:D14"/>
    <mergeCell ref="E13:E14"/>
    <mergeCell ref="H13:H14"/>
    <mergeCell ref="G13:G14"/>
    <mergeCell ref="C26:C30"/>
    <mergeCell ref="L12:O12"/>
    <mergeCell ref="L13:L14"/>
    <mergeCell ref="L26:L29"/>
    <mergeCell ref="M13:M14"/>
    <mergeCell ref="M16:M82"/>
    <mergeCell ref="N13:O13"/>
    <mergeCell ref="A8:O8"/>
    <mergeCell ref="A13:A14"/>
    <mergeCell ref="B13:B14"/>
    <mergeCell ref="J13:J14"/>
    <mergeCell ref="N168:N170"/>
    <mergeCell ref="J159:J160"/>
    <mergeCell ref="M113:M118"/>
    <mergeCell ref="N107:N112"/>
    <mergeCell ref="K125:K130"/>
    <mergeCell ref="N156:N157"/>
    <mergeCell ref="N131:N136"/>
    <mergeCell ref="C168:C170"/>
    <mergeCell ref="C165:C166"/>
    <mergeCell ref="M131:M136"/>
    <mergeCell ref="M149:M154"/>
    <mergeCell ref="N137:N142"/>
    <mergeCell ref="M159:M160"/>
    <mergeCell ref="N125:N130"/>
    <mergeCell ref="N119:N124"/>
    <mergeCell ref="M125:M130"/>
    <mergeCell ref="K168:K170"/>
    <mergeCell ref="L159:L160"/>
    <mergeCell ref="C159:C160"/>
    <mergeCell ref="K137:K142"/>
    <mergeCell ref="K131:K136"/>
    <mergeCell ref="K149:K154"/>
    <mergeCell ref="L149:L154"/>
    <mergeCell ref="L137:L142"/>
    <mergeCell ref="B300:D300"/>
    <mergeCell ref="L300:M300"/>
    <mergeCell ref="C83:C88"/>
    <mergeCell ref="C89:C94"/>
    <mergeCell ref="C95:C100"/>
    <mergeCell ref="C101:C106"/>
    <mergeCell ref="C107:C112"/>
    <mergeCell ref="C113:C118"/>
    <mergeCell ref="C119:C124"/>
    <mergeCell ref="C125:C130"/>
    <mergeCell ref="C131:C136"/>
    <mergeCell ref="C137:C142"/>
    <mergeCell ref="C143:C148"/>
    <mergeCell ref="A283:D283"/>
    <mergeCell ref="B131:B136"/>
    <mergeCell ref="B297:D297"/>
    <mergeCell ref="B293:D293"/>
    <mergeCell ref="B89:B94"/>
    <mergeCell ref="B95:B100"/>
    <mergeCell ref="L165:L166"/>
    <mergeCell ref="B289:D289"/>
    <mergeCell ref="K215:K216"/>
    <mergeCell ref="K217:K218"/>
    <mergeCell ref="K220:K223"/>
    <mergeCell ref="A285:D285"/>
    <mergeCell ref="A286:D286"/>
    <mergeCell ref="C261:C262"/>
    <mergeCell ref="D244:D246"/>
    <mergeCell ref="A261:A262"/>
    <mergeCell ref="B261:B262"/>
    <mergeCell ref="A229:A230"/>
    <mergeCell ref="C242:C246"/>
    <mergeCell ref="A259:A260"/>
    <mergeCell ref="B259:B260"/>
    <mergeCell ref="B250:B253"/>
    <mergeCell ref="A284:D284"/>
    <mergeCell ref="K259:K260"/>
    <mergeCell ref="A194:A196"/>
    <mergeCell ref="B201:B203"/>
    <mergeCell ref="A215:A216"/>
    <mergeCell ref="A217:A218"/>
    <mergeCell ref="B217:B218"/>
    <mergeCell ref="A168:A170"/>
    <mergeCell ref="L89:L93"/>
    <mergeCell ref="M156:M157"/>
    <mergeCell ref="C156:C157"/>
    <mergeCell ref="K229:K230"/>
    <mergeCell ref="K231:K235"/>
    <mergeCell ref="L229:L230"/>
    <mergeCell ref="M220:M223"/>
    <mergeCell ref="L220:L223"/>
    <mergeCell ref="M217:M218"/>
    <mergeCell ref="L215:L216"/>
    <mergeCell ref="M215:M216"/>
    <mergeCell ref="L217:L218"/>
    <mergeCell ref="L95:L100"/>
    <mergeCell ref="L119:L124"/>
    <mergeCell ref="L101:L106"/>
    <mergeCell ref="L107:L112"/>
    <mergeCell ref="L113:L118"/>
    <mergeCell ref="K119:K124"/>
    <mergeCell ref="C229:C230"/>
    <mergeCell ref="C231:C235"/>
    <mergeCell ref="D233:D235"/>
    <mergeCell ref="C177:C181"/>
    <mergeCell ref="C217:C218"/>
    <mergeCell ref="C215:C216"/>
    <mergeCell ref="B296:D296"/>
    <mergeCell ref="B119:B124"/>
    <mergeCell ref="A250:A253"/>
    <mergeCell ref="C250:C253"/>
    <mergeCell ref="C259:C260"/>
    <mergeCell ref="A242:A246"/>
    <mergeCell ref="H244:H246"/>
    <mergeCell ref="I244:I246"/>
    <mergeCell ref="E244:E246"/>
    <mergeCell ref="D252:D253"/>
    <mergeCell ref="E252:E253"/>
    <mergeCell ref="A224:A225"/>
    <mergeCell ref="G233:G235"/>
    <mergeCell ref="A231:A235"/>
    <mergeCell ref="B231:B235"/>
    <mergeCell ref="B229:B230"/>
    <mergeCell ref="G244:G246"/>
    <mergeCell ref="B224:B225"/>
    <mergeCell ref="F244:F246"/>
    <mergeCell ref="F252:F253"/>
    <mergeCell ref="B287:D287"/>
    <mergeCell ref="B288:D288"/>
    <mergeCell ref="B242:B246"/>
    <mergeCell ref="C149:C154"/>
    <mergeCell ref="A190:A191"/>
    <mergeCell ref="A197:A198"/>
    <mergeCell ref="A192:A193"/>
    <mergeCell ref="A220:A223"/>
    <mergeCell ref="B220:B223"/>
    <mergeCell ref="C220:C223"/>
    <mergeCell ref="A201:A203"/>
    <mergeCell ref="A212:A214"/>
    <mergeCell ref="C201:C203"/>
    <mergeCell ref="B212:B214"/>
    <mergeCell ref="C212:C214"/>
    <mergeCell ref="A209:A211"/>
    <mergeCell ref="B209:B211"/>
    <mergeCell ref="B215:B216"/>
    <mergeCell ref="E233:E235"/>
    <mergeCell ref="L40:L43"/>
    <mergeCell ref="K64:K68"/>
    <mergeCell ref="K69:K72"/>
    <mergeCell ref="C69:C72"/>
    <mergeCell ref="C77:C82"/>
    <mergeCell ref="C64:C68"/>
    <mergeCell ref="K77:K82"/>
    <mergeCell ref="B73:B76"/>
    <mergeCell ref="C73:C76"/>
    <mergeCell ref="C49:C52"/>
    <mergeCell ref="K73:K76"/>
    <mergeCell ref="L69:L72"/>
    <mergeCell ref="L73:L76"/>
    <mergeCell ref="K53:K57"/>
    <mergeCell ref="L58:L63"/>
    <mergeCell ref="B168:B170"/>
    <mergeCell ref="L143:L148"/>
    <mergeCell ref="B149:B154"/>
    <mergeCell ref="B143:B148"/>
    <mergeCell ref="L177:L181"/>
    <mergeCell ref="L125:L130"/>
    <mergeCell ref="L168:L170"/>
    <mergeCell ref="L156:L157"/>
    <mergeCell ref="M143:M148"/>
    <mergeCell ref="O131:O136"/>
    <mergeCell ref="O83:O87"/>
    <mergeCell ref="O89:O93"/>
    <mergeCell ref="O149:O154"/>
    <mergeCell ref="N149:N154"/>
    <mergeCell ref="O119:O124"/>
    <mergeCell ref="N89:N93"/>
    <mergeCell ref="M83:M87"/>
    <mergeCell ref="M89:M93"/>
    <mergeCell ref="M95:M100"/>
    <mergeCell ref="M101:M106"/>
    <mergeCell ref="M107:M112"/>
    <mergeCell ref="N95:N100"/>
    <mergeCell ref="N101:N106"/>
    <mergeCell ref="M119:M124"/>
    <mergeCell ref="O137:O142"/>
    <mergeCell ref="M137:M142"/>
    <mergeCell ref="O125:O130"/>
    <mergeCell ref="O95:O100"/>
    <mergeCell ref="A165:A166"/>
    <mergeCell ref="A177:A181"/>
    <mergeCell ref="P177:P180"/>
    <mergeCell ref="M177:M180"/>
    <mergeCell ref="N177:N180"/>
    <mergeCell ref="O177:O180"/>
    <mergeCell ref="N143:N148"/>
    <mergeCell ref="O143:O148"/>
    <mergeCell ref="H233:H235"/>
    <mergeCell ref="I233:I235"/>
    <mergeCell ref="F233:F235"/>
    <mergeCell ref="A183:A186"/>
    <mergeCell ref="A187:A189"/>
    <mergeCell ref="A159:A160"/>
    <mergeCell ref="P159:P160"/>
    <mergeCell ref="P168:P170"/>
    <mergeCell ref="N159:N160"/>
    <mergeCell ref="O159:O160"/>
    <mergeCell ref="O156:O157"/>
    <mergeCell ref="O168:O170"/>
    <mergeCell ref="M168:M170"/>
    <mergeCell ref="J165:J166"/>
    <mergeCell ref="K159:K160"/>
    <mergeCell ref="K165:K166"/>
    <mergeCell ref="I252:I253"/>
    <mergeCell ref="K201:K203"/>
    <mergeCell ref="K209:K211"/>
    <mergeCell ref="L209:L211"/>
    <mergeCell ref="J242:J246"/>
    <mergeCell ref="K242:K246"/>
    <mergeCell ref="L242:L246"/>
    <mergeCell ref="J250:J253"/>
    <mergeCell ref="K250:K253"/>
    <mergeCell ref="L250:L253"/>
    <mergeCell ref="K219:P219"/>
    <mergeCell ref="N220:N223"/>
    <mergeCell ref="O220:O223"/>
    <mergeCell ref="P251:P253"/>
    <mergeCell ref="P201:P203"/>
    <mergeCell ref="P217:P218"/>
    <mergeCell ref="O212:O214"/>
    <mergeCell ref="N212:N214"/>
    <mergeCell ref="G252:G253"/>
    <mergeCell ref="N229:N230"/>
    <mergeCell ref="K177:K181"/>
    <mergeCell ref="K44:K48"/>
    <mergeCell ref="B77:B82"/>
    <mergeCell ref="B83:B88"/>
    <mergeCell ref="J209:J211"/>
    <mergeCell ref="J177:J181"/>
    <mergeCell ref="J201:J203"/>
    <mergeCell ref="B205:B206"/>
    <mergeCell ref="B177:B181"/>
    <mergeCell ref="J168:J170"/>
    <mergeCell ref="B165:B166"/>
    <mergeCell ref="C209:C211"/>
    <mergeCell ref="B58:B63"/>
    <mergeCell ref="C58:C63"/>
    <mergeCell ref="C53:C57"/>
    <mergeCell ref="B137:B142"/>
    <mergeCell ref="B113:B118"/>
    <mergeCell ref="B107:B112"/>
    <mergeCell ref="K156:K157"/>
    <mergeCell ref="B159:B160"/>
    <mergeCell ref="J16:J82"/>
    <mergeCell ref="H252:H253"/>
    <mergeCell ref="A2:O2"/>
    <mergeCell ref="A10:K10"/>
    <mergeCell ref="O101:O106"/>
    <mergeCell ref="O107:O112"/>
    <mergeCell ref="N113:N118"/>
    <mergeCell ref="O113:O118"/>
    <mergeCell ref="N83:N87"/>
    <mergeCell ref="B101:B106"/>
    <mergeCell ref="K101:K106"/>
    <mergeCell ref="A83:A157"/>
    <mergeCell ref="B155:B157"/>
    <mergeCell ref="B125:B130"/>
    <mergeCell ref="L64:L68"/>
    <mergeCell ref="L77:L82"/>
    <mergeCell ref="K49:K52"/>
    <mergeCell ref="B49:B52"/>
    <mergeCell ref="K95:K100"/>
    <mergeCell ref="B53:B57"/>
    <mergeCell ref="B64:B68"/>
    <mergeCell ref="F13:F14"/>
    <mergeCell ref="B26:B30"/>
    <mergeCell ref="B31:B34"/>
    <mergeCell ref="B40:B43"/>
    <mergeCell ref="C35:C39"/>
    <mergeCell ref="A77:A82"/>
    <mergeCell ref="B16:B21"/>
    <mergeCell ref="L53:L57"/>
    <mergeCell ref="B22:B25"/>
    <mergeCell ref="B35:B39"/>
    <mergeCell ref="B44:B48"/>
    <mergeCell ref="C16:C21"/>
    <mergeCell ref="K58:K63"/>
    <mergeCell ref="A22:A76"/>
    <mergeCell ref="C44:C48"/>
    <mergeCell ref="C40:C43"/>
    <mergeCell ref="B69:B72"/>
    <mergeCell ref="K40:K43"/>
    <mergeCell ref="L49:L52"/>
    <mergeCell ref="A16:A21"/>
    <mergeCell ref="P13:P14"/>
    <mergeCell ref="O15:P15"/>
    <mergeCell ref="P16:P82"/>
    <mergeCell ref="K158:P158"/>
    <mergeCell ref="A290:D290"/>
    <mergeCell ref="A291:D291"/>
    <mergeCell ref="A294:D294"/>
    <mergeCell ref="A295:D295"/>
    <mergeCell ref="B292:D292"/>
    <mergeCell ref="O259:O260"/>
    <mergeCell ref="P220:P223"/>
    <mergeCell ref="P229:P230"/>
    <mergeCell ref="P231:P235"/>
    <mergeCell ref="P242:P246"/>
    <mergeCell ref="P215:P216"/>
    <mergeCell ref="C22:C25"/>
    <mergeCell ref="C31:C34"/>
    <mergeCell ref="K16:K21"/>
    <mergeCell ref="L16:L21"/>
    <mergeCell ref="K35:K39"/>
    <mergeCell ref="L31:L34"/>
    <mergeCell ref="J229:J230"/>
    <mergeCell ref="J231:J235"/>
    <mergeCell ref="L231:L235"/>
    <mergeCell ref="L259:L260"/>
    <mergeCell ref="N242:N246"/>
    <mergeCell ref="O242:O246"/>
    <mergeCell ref="N250:N253"/>
    <mergeCell ref="M259:M260"/>
    <mergeCell ref="N259:N260"/>
    <mergeCell ref="O250:O253"/>
    <mergeCell ref="L201:L203"/>
    <mergeCell ref="O209:O211"/>
    <mergeCell ref="N209:N211"/>
    <mergeCell ref="O217:O218"/>
    <mergeCell ref="N215:N216"/>
    <mergeCell ref="O215:O216"/>
    <mergeCell ref="N217:N218"/>
    <mergeCell ref="M209:M211"/>
    <mergeCell ref="M201:M203"/>
    <mergeCell ref="N201:N203"/>
    <mergeCell ref="O201:O203"/>
    <mergeCell ref="O229:O230"/>
    <mergeCell ref="M231:M235"/>
    <mergeCell ref="N231:N235"/>
    <mergeCell ref="O231:O235"/>
  </mergeCells>
  <phoneticPr fontId="17" type="noConversion"/>
  <conditionalFormatting sqref="E13:H13 K13 I13:I14">
    <cfRule type="dataBar" priority="45">
      <dataBar>
        <cfvo type="min"/>
        <cfvo type="max"/>
        <color rgb="FF638EC6"/>
      </dataBar>
      <extLst>
        <ext xmlns:x14="http://schemas.microsoft.com/office/spreadsheetml/2009/9/main" uri="{B025F937-C7B1-47D3-B67F-A62EFF666E3E}">
          <x14:id>{654189B1-5C4A-46ED-92D1-B4850105B7BD}</x14:id>
        </ext>
      </extLst>
    </cfRule>
  </conditionalFormatting>
  <pageMargins left="0.7" right="0.7" top="0.75" bottom="0.75" header="0.3" footer="0.3"/>
  <pageSetup paperSize="8" scale="60"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654189B1-5C4A-46ED-92D1-B4850105B7BD}">
            <x14:dataBar minLength="0" maxLength="100" border="1" negativeBarBorderColorSameAsPositive="0">
              <x14:cfvo type="autoMin"/>
              <x14:cfvo type="autoMax"/>
              <x14:borderColor rgb="FF638EC6"/>
              <x14:negativeFillColor rgb="FFFF0000"/>
              <x14:negativeBorderColor rgb="FFFF0000"/>
              <x14:axisColor rgb="FF000000"/>
            </x14:dataBar>
          </x14:cfRule>
          <xm:sqref>E13:H13 K13 I13:I14</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7E3DF-58E4-4084-942B-E33220C0A008}">
  <sheetPr codeName="Lapas10">
    <pageSetUpPr fitToPage="1"/>
  </sheetPr>
  <dimension ref="A2:O55"/>
  <sheetViews>
    <sheetView workbookViewId="0">
      <selection activeCell="A2" sqref="A2:H2"/>
    </sheetView>
  </sheetViews>
  <sheetFormatPr defaultColWidth="9.15234375" defaultRowHeight="11.6"/>
  <cols>
    <col min="1" max="1" width="7.3046875" style="374" customWidth="1"/>
    <col min="2" max="2" width="35.3046875" style="374" customWidth="1"/>
    <col min="3" max="3" width="17.3046875" style="374" customWidth="1"/>
    <col min="4" max="4" width="19.53515625" style="374" customWidth="1"/>
    <col min="5" max="5" width="15.3828125" style="374" hidden="1" customWidth="1"/>
    <col min="6" max="6" width="15.15234375" style="374" hidden="1" customWidth="1"/>
    <col min="7" max="7" width="13.84375" style="374" hidden="1" customWidth="1"/>
    <col min="8" max="8" width="32.15234375" style="374" customWidth="1"/>
    <col min="9" max="16384" width="9.15234375" style="374"/>
  </cols>
  <sheetData>
    <row r="2" spans="1:15" ht="48" customHeight="1">
      <c r="A2" s="1858" t="s">
        <v>3762</v>
      </c>
      <c r="B2" s="1858"/>
      <c r="C2" s="1858"/>
      <c r="D2" s="1858"/>
      <c r="E2" s="1858"/>
      <c r="F2" s="1858"/>
      <c r="G2" s="1858"/>
      <c r="H2" s="1858"/>
      <c r="I2" s="607"/>
      <c r="J2" s="607"/>
      <c r="K2" s="607"/>
      <c r="L2" s="607"/>
      <c r="M2" s="607"/>
      <c r="N2" s="607"/>
      <c r="O2" s="607"/>
    </row>
    <row r="3" spans="1:15" ht="26.25" customHeight="1"/>
    <row r="4" spans="1:15" ht="49.5" customHeight="1">
      <c r="A4" s="443" t="s">
        <v>984</v>
      </c>
      <c r="B4" s="443" t="s">
        <v>1813</v>
      </c>
      <c r="C4" s="443" t="s">
        <v>1814</v>
      </c>
      <c r="D4" s="443" t="s">
        <v>3503</v>
      </c>
      <c r="E4" s="443">
        <v>2024</v>
      </c>
      <c r="F4" s="443">
        <v>2025</v>
      </c>
      <c r="G4" s="443">
        <v>2026</v>
      </c>
      <c r="H4" s="443" t="s">
        <v>1815</v>
      </c>
    </row>
    <row r="5" spans="1:15">
      <c r="A5" s="444" t="s">
        <v>998</v>
      </c>
      <c r="B5" s="444" t="s">
        <v>1816</v>
      </c>
      <c r="C5" s="444"/>
      <c r="D5" s="444"/>
      <c r="E5" s="444"/>
      <c r="F5" s="444"/>
      <c r="G5" s="444"/>
      <c r="H5" s="444"/>
    </row>
    <row r="6" spans="1:15" ht="23.15">
      <c r="A6" s="442" t="s">
        <v>1032</v>
      </c>
      <c r="B6" s="442" t="s">
        <v>1817</v>
      </c>
      <c r="C6" s="442" t="s">
        <v>1818</v>
      </c>
      <c r="D6" s="442" t="s">
        <v>2509</v>
      </c>
      <c r="E6" s="442">
        <v>115</v>
      </c>
      <c r="F6" s="442">
        <v>115</v>
      </c>
      <c r="G6" s="442">
        <v>115</v>
      </c>
      <c r="H6" s="442" t="s">
        <v>1820</v>
      </c>
    </row>
    <row r="7" spans="1:15">
      <c r="A7" s="444" t="s">
        <v>1046</v>
      </c>
      <c r="B7" s="1847" t="s">
        <v>1821</v>
      </c>
      <c r="C7" s="1847"/>
      <c r="D7" s="1847"/>
      <c r="E7" s="1847"/>
      <c r="F7" s="1847"/>
      <c r="G7" s="1847"/>
      <c r="H7" s="1847"/>
    </row>
    <row r="8" spans="1:15" ht="23.15">
      <c r="A8" s="442" t="s">
        <v>1822</v>
      </c>
      <c r="B8" s="442" t="s">
        <v>1823</v>
      </c>
      <c r="C8" s="442" t="s">
        <v>1824</v>
      </c>
      <c r="D8" s="442">
        <v>115</v>
      </c>
      <c r="E8" s="442">
        <v>112</v>
      </c>
      <c r="F8" s="442">
        <v>110</v>
      </c>
      <c r="G8" s="442">
        <v>110</v>
      </c>
      <c r="H8" s="442" t="s">
        <v>1825</v>
      </c>
    </row>
    <row r="9" spans="1:15" ht="23.15">
      <c r="A9" s="442" t="s">
        <v>1826</v>
      </c>
      <c r="B9" s="442" t="s">
        <v>1827</v>
      </c>
      <c r="C9" s="442" t="s">
        <v>1824</v>
      </c>
      <c r="D9" s="442">
        <v>189</v>
      </c>
      <c r="E9" s="442">
        <v>185</v>
      </c>
      <c r="F9" s="442">
        <v>180</v>
      </c>
      <c r="G9" s="442">
        <v>180</v>
      </c>
      <c r="H9" s="442" t="s">
        <v>1825</v>
      </c>
    </row>
    <row r="10" spans="1:15" ht="23.15">
      <c r="A10" s="442" t="s">
        <v>1828</v>
      </c>
      <c r="B10" s="442" t="s">
        <v>1829</v>
      </c>
      <c r="C10" s="442" t="s">
        <v>1824</v>
      </c>
      <c r="D10" s="442">
        <v>443</v>
      </c>
      <c r="E10" s="442">
        <v>430</v>
      </c>
      <c r="F10" s="442">
        <v>425</v>
      </c>
      <c r="G10" s="442">
        <v>425</v>
      </c>
      <c r="H10" s="442" t="s">
        <v>1825</v>
      </c>
    </row>
    <row r="11" spans="1:15" ht="23.15">
      <c r="A11" s="442" t="s">
        <v>1830</v>
      </c>
      <c r="B11" s="442" t="s">
        <v>1831</v>
      </c>
      <c r="C11" s="442" t="s">
        <v>1824</v>
      </c>
      <c r="D11" s="442">
        <v>106</v>
      </c>
      <c r="E11" s="442">
        <v>105</v>
      </c>
      <c r="F11" s="442">
        <v>108</v>
      </c>
      <c r="G11" s="442">
        <v>110</v>
      </c>
      <c r="H11" s="442" t="s">
        <v>1832</v>
      </c>
    </row>
    <row r="12" spans="1:15">
      <c r="A12" s="444" t="s">
        <v>1047</v>
      </c>
      <c r="B12" s="1859" t="s">
        <v>1833</v>
      </c>
      <c r="C12" s="1859"/>
      <c r="D12" s="1859"/>
      <c r="E12" s="1859"/>
      <c r="F12" s="1859"/>
      <c r="G12" s="1859"/>
      <c r="H12" s="1859"/>
    </row>
    <row r="13" spans="1:15" ht="43.5" customHeight="1">
      <c r="A13" s="442" t="s">
        <v>1834</v>
      </c>
      <c r="B13" s="442" t="s">
        <v>1798</v>
      </c>
      <c r="C13" s="442" t="s">
        <v>1835</v>
      </c>
      <c r="D13" s="442">
        <v>36</v>
      </c>
      <c r="E13" s="442">
        <v>38</v>
      </c>
      <c r="F13" s="442">
        <v>38</v>
      </c>
      <c r="G13" s="442">
        <v>40</v>
      </c>
      <c r="H13" s="442" t="s">
        <v>1836</v>
      </c>
    </row>
    <row r="14" spans="1:15" ht="23.15">
      <c r="A14" s="442" t="s">
        <v>1837</v>
      </c>
      <c r="B14" s="442" t="s">
        <v>1804</v>
      </c>
      <c r="C14" s="442" t="s">
        <v>1835</v>
      </c>
      <c r="D14" s="442">
        <v>26</v>
      </c>
      <c r="E14" s="442">
        <v>28</v>
      </c>
      <c r="F14" s="442">
        <v>28</v>
      </c>
      <c r="G14" s="442">
        <v>30</v>
      </c>
      <c r="H14" s="442" t="s">
        <v>1838</v>
      </c>
    </row>
    <row r="15" spans="1:15" ht="23.15">
      <c r="A15" s="442" t="s">
        <v>1839</v>
      </c>
      <c r="B15" s="442" t="s">
        <v>1799</v>
      </c>
      <c r="C15" s="442" t="s">
        <v>1835</v>
      </c>
      <c r="D15" s="442">
        <v>1931</v>
      </c>
      <c r="E15" s="442">
        <v>1950</v>
      </c>
      <c r="F15" s="442">
        <v>1950</v>
      </c>
      <c r="G15" s="442">
        <v>1950</v>
      </c>
      <c r="H15" s="442" t="s">
        <v>1840</v>
      </c>
    </row>
    <row r="16" spans="1:15">
      <c r="A16" s="442" t="s">
        <v>1841</v>
      </c>
      <c r="B16" s="442" t="s">
        <v>1800</v>
      </c>
      <c r="C16" s="442" t="s">
        <v>1835</v>
      </c>
      <c r="D16" s="442">
        <v>759</v>
      </c>
      <c r="E16" s="442">
        <v>750</v>
      </c>
      <c r="F16" s="442">
        <v>750</v>
      </c>
      <c r="G16" s="442">
        <v>750</v>
      </c>
      <c r="H16" s="442" t="s">
        <v>1842</v>
      </c>
    </row>
    <row r="17" spans="1:8" ht="23.15">
      <c r="A17" s="442" t="s">
        <v>1843</v>
      </c>
      <c r="B17" s="442" t="s">
        <v>1801</v>
      </c>
      <c r="C17" s="442" t="s">
        <v>1824</v>
      </c>
      <c r="D17" s="442">
        <v>2263</v>
      </c>
      <c r="E17" s="442">
        <v>2260</v>
      </c>
      <c r="F17" s="442">
        <v>2260</v>
      </c>
      <c r="G17" s="442">
        <v>2260</v>
      </c>
      <c r="H17" s="442" t="s">
        <v>1844</v>
      </c>
    </row>
    <row r="18" spans="1:8" ht="23.15">
      <c r="A18" s="442" t="s">
        <v>1845</v>
      </c>
      <c r="B18" s="445" t="s">
        <v>1805</v>
      </c>
      <c r="C18" s="445" t="s">
        <v>1824</v>
      </c>
      <c r="D18" s="445">
        <v>10.5</v>
      </c>
      <c r="E18" s="445">
        <v>10.5</v>
      </c>
      <c r="F18" s="445">
        <v>10.5</v>
      </c>
      <c r="G18" s="445">
        <v>10.6</v>
      </c>
      <c r="H18" s="445" t="s">
        <v>1846</v>
      </c>
    </row>
    <row r="19" spans="1:8" ht="46.95" customHeight="1">
      <c r="A19" s="442" t="s">
        <v>1847</v>
      </c>
      <c r="B19" s="442" t="s">
        <v>1806</v>
      </c>
      <c r="C19" s="442" t="s">
        <v>1835</v>
      </c>
      <c r="D19" s="442">
        <v>0</v>
      </c>
      <c r="E19" s="442">
        <v>0</v>
      </c>
      <c r="F19" s="442">
        <v>0</v>
      </c>
      <c r="G19" s="442">
        <v>0</v>
      </c>
      <c r="H19" s="442" t="s">
        <v>1842</v>
      </c>
    </row>
    <row r="20" spans="1:8" ht="34.75">
      <c r="A20" s="442" t="s">
        <v>1849</v>
      </c>
      <c r="B20" s="442" t="s">
        <v>1807</v>
      </c>
      <c r="C20" s="442" t="s">
        <v>1835</v>
      </c>
      <c r="D20" s="442">
        <v>0</v>
      </c>
      <c r="E20" s="442">
        <v>0</v>
      </c>
      <c r="F20" s="442">
        <v>0</v>
      </c>
      <c r="G20" s="442">
        <v>0</v>
      </c>
      <c r="H20" s="442" t="s">
        <v>1842</v>
      </c>
    </row>
    <row r="21" spans="1:8" ht="34.75">
      <c r="A21" s="442" t="s">
        <v>1850</v>
      </c>
      <c r="B21" s="442" t="s">
        <v>1808</v>
      </c>
      <c r="C21" s="442" t="s">
        <v>1835</v>
      </c>
      <c r="D21" s="442">
        <v>0</v>
      </c>
      <c r="E21" s="442">
        <v>0</v>
      </c>
      <c r="F21" s="442">
        <v>0</v>
      </c>
      <c r="G21" s="442">
        <v>0</v>
      </c>
      <c r="H21" s="442" t="s">
        <v>1842</v>
      </c>
    </row>
    <row r="22" spans="1:8" ht="69.45">
      <c r="A22" s="442" t="s">
        <v>1851</v>
      </c>
      <c r="B22" s="442" t="s">
        <v>1809</v>
      </c>
      <c r="C22" s="442" t="s">
        <v>1835</v>
      </c>
      <c r="D22" s="442">
        <v>0</v>
      </c>
      <c r="E22" s="442">
        <v>0</v>
      </c>
      <c r="F22" s="442">
        <v>0</v>
      </c>
      <c r="G22" s="442">
        <v>0</v>
      </c>
      <c r="H22" s="442" t="s">
        <v>1842</v>
      </c>
    </row>
    <row r="23" spans="1:8">
      <c r="A23" s="444" t="s">
        <v>1750</v>
      </c>
      <c r="B23" s="1859" t="s">
        <v>1852</v>
      </c>
      <c r="C23" s="1859"/>
      <c r="D23" s="1859"/>
      <c r="E23" s="1859"/>
      <c r="F23" s="1859"/>
      <c r="G23" s="1859"/>
      <c r="H23" s="1859"/>
    </row>
    <row r="24" spans="1:8" ht="34.75">
      <c r="A24" s="442" t="s">
        <v>1853</v>
      </c>
      <c r="B24" s="442" t="s">
        <v>2626</v>
      </c>
      <c r="C24" s="1860" t="s">
        <v>1824</v>
      </c>
      <c r="D24" s="445" t="s">
        <v>2627</v>
      </c>
      <c r="E24" s="445" t="s">
        <v>2628</v>
      </c>
      <c r="F24" s="445" t="s">
        <v>2629</v>
      </c>
      <c r="G24" s="445" t="s">
        <v>2630</v>
      </c>
      <c r="H24" s="1860" t="s">
        <v>1854</v>
      </c>
    </row>
    <row r="25" spans="1:8">
      <c r="A25" s="442" t="s">
        <v>1855</v>
      </c>
      <c r="B25" s="442" t="s">
        <v>1810</v>
      </c>
      <c r="C25" s="1860"/>
      <c r="D25" s="445" t="s">
        <v>2631</v>
      </c>
      <c r="E25" s="445" t="s">
        <v>2632</v>
      </c>
      <c r="F25" s="445" t="s">
        <v>2633</v>
      </c>
      <c r="G25" s="445" t="s">
        <v>2628</v>
      </c>
      <c r="H25" s="1860"/>
    </row>
    <row r="26" spans="1:8">
      <c r="A26" s="442" t="s">
        <v>1856</v>
      </c>
      <c r="B26" s="442" t="s">
        <v>1811</v>
      </c>
      <c r="C26" s="1860"/>
      <c r="D26" s="445" t="s">
        <v>2634</v>
      </c>
      <c r="E26" s="445" t="s">
        <v>2635</v>
      </c>
      <c r="F26" s="445" t="s">
        <v>2636</v>
      </c>
      <c r="G26" s="445" t="s">
        <v>2632</v>
      </c>
      <c r="H26" s="1860"/>
    </row>
    <row r="27" spans="1:8">
      <c r="A27" s="442" t="s">
        <v>1857</v>
      </c>
      <c r="B27" s="442" t="s">
        <v>1812</v>
      </c>
      <c r="C27" s="1860"/>
      <c r="D27" s="445" t="s">
        <v>2637</v>
      </c>
      <c r="E27" s="445" t="s">
        <v>2638</v>
      </c>
      <c r="F27" s="445" t="s">
        <v>2638</v>
      </c>
      <c r="G27" s="445" t="s">
        <v>2639</v>
      </c>
      <c r="H27" s="1860"/>
    </row>
    <row r="28" spans="1:8" ht="23.15">
      <c r="A28" s="442" t="s">
        <v>1858</v>
      </c>
      <c r="B28" s="446" t="s">
        <v>1859</v>
      </c>
      <c r="C28" s="1866" t="s">
        <v>1824</v>
      </c>
      <c r="D28" s="445"/>
      <c r="E28" s="445"/>
      <c r="F28" s="445"/>
      <c r="G28" s="445"/>
      <c r="H28" s="1860" t="s">
        <v>1842</v>
      </c>
    </row>
    <row r="29" spans="1:8">
      <c r="A29" s="442" t="s">
        <v>1860</v>
      </c>
      <c r="B29" s="446" t="s">
        <v>1810</v>
      </c>
      <c r="C29" s="1866"/>
      <c r="D29" s="445" t="s">
        <v>2640</v>
      </c>
      <c r="E29" s="445">
        <v>95</v>
      </c>
      <c r="F29" s="445">
        <v>94</v>
      </c>
      <c r="G29" s="445">
        <v>94</v>
      </c>
      <c r="H29" s="1860"/>
    </row>
    <row r="30" spans="1:8">
      <c r="A30" s="442" t="s">
        <v>1861</v>
      </c>
      <c r="B30" s="446" t="s">
        <v>1811</v>
      </c>
      <c r="C30" s="1866"/>
      <c r="D30" s="445" t="s">
        <v>2641</v>
      </c>
      <c r="E30" s="445">
        <v>94</v>
      </c>
      <c r="F30" s="445">
        <v>93</v>
      </c>
      <c r="G30" s="445">
        <v>92</v>
      </c>
      <c r="H30" s="1860"/>
    </row>
    <row r="31" spans="1:8">
      <c r="A31" s="442" t="s">
        <v>1862</v>
      </c>
      <c r="B31" s="445" t="s">
        <v>1812</v>
      </c>
      <c r="C31" s="1866"/>
      <c r="D31" s="445">
        <v>85</v>
      </c>
      <c r="E31" s="445">
        <v>85</v>
      </c>
      <c r="F31" s="445">
        <v>82</v>
      </c>
      <c r="G31" s="445">
        <v>80</v>
      </c>
      <c r="H31" s="1860"/>
    </row>
    <row r="32" spans="1:8" ht="34.75">
      <c r="A32" s="442" t="s">
        <v>1863</v>
      </c>
      <c r="B32" s="447" t="s">
        <v>1864</v>
      </c>
      <c r="C32" s="442" t="s">
        <v>1824</v>
      </c>
      <c r="D32" s="442">
        <v>1</v>
      </c>
      <c r="E32" s="442">
        <v>0</v>
      </c>
      <c r="F32" s="442">
        <v>0</v>
      </c>
      <c r="G32" s="442">
        <v>0</v>
      </c>
      <c r="H32" s="442" t="s">
        <v>1865</v>
      </c>
    </row>
    <row r="33" spans="1:8" ht="23.15">
      <c r="A33" s="442" t="s">
        <v>1866</v>
      </c>
      <c r="B33" s="446" t="s">
        <v>1364</v>
      </c>
      <c r="C33" s="445" t="s">
        <v>1824</v>
      </c>
      <c r="D33" s="445" t="s">
        <v>1819</v>
      </c>
      <c r="E33" s="445">
        <v>10.5</v>
      </c>
      <c r="F33" s="445">
        <v>10.5</v>
      </c>
      <c r="G33" s="445">
        <v>10.6</v>
      </c>
      <c r="H33" s="442" t="s">
        <v>1867</v>
      </c>
    </row>
    <row r="34" spans="1:8">
      <c r="A34" s="444" t="s">
        <v>1048</v>
      </c>
      <c r="B34" s="1859" t="s">
        <v>1868</v>
      </c>
      <c r="C34" s="1859"/>
      <c r="D34" s="1859"/>
      <c r="E34" s="1859"/>
      <c r="F34" s="1859"/>
      <c r="G34" s="1859"/>
      <c r="H34" s="1859"/>
    </row>
    <row r="35" spans="1:8" ht="23.15">
      <c r="A35" s="442" t="s">
        <v>1869</v>
      </c>
      <c r="B35" s="442" t="s">
        <v>1802</v>
      </c>
      <c r="C35" s="442" t="s">
        <v>1835</v>
      </c>
      <c r="D35" s="442" t="s">
        <v>1848</v>
      </c>
      <c r="E35" s="445">
        <v>89.22</v>
      </c>
      <c r="F35" s="445">
        <v>90</v>
      </c>
      <c r="G35" s="445">
        <v>92</v>
      </c>
      <c r="H35" s="445" t="s">
        <v>1842</v>
      </c>
    </row>
    <row r="36" spans="1:8" ht="60" customHeight="1">
      <c r="A36" s="442" t="s">
        <v>1870</v>
      </c>
      <c r="B36" s="442" t="s">
        <v>1803</v>
      </c>
      <c r="C36" s="442" t="s">
        <v>1835</v>
      </c>
      <c r="D36" s="442">
        <v>9.0500000000000007</v>
      </c>
      <c r="E36" s="442">
        <v>10</v>
      </c>
      <c r="F36" s="442">
        <v>10</v>
      </c>
      <c r="G36" s="442">
        <v>10</v>
      </c>
      <c r="H36" s="442" t="s">
        <v>1842</v>
      </c>
    </row>
    <row r="37" spans="1:8" ht="23.15">
      <c r="A37" s="442" t="s">
        <v>1871</v>
      </c>
      <c r="B37" s="442" t="s">
        <v>2514</v>
      </c>
      <c r="C37" s="442" t="s">
        <v>1835</v>
      </c>
      <c r="D37" s="442">
        <v>0</v>
      </c>
      <c r="E37" s="442">
        <v>0.5</v>
      </c>
      <c r="F37" s="442">
        <v>0.5</v>
      </c>
      <c r="G37" s="442">
        <v>0.5</v>
      </c>
      <c r="H37" s="442" t="s">
        <v>1842</v>
      </c>
    </row>
    <row r="38" spans="1:8">
      <c r="A38" s="444" t="s">
        <v>1049</v>
      </c>
      <c r="B38" s="1847" t="s">
        <v>1872</v>
      </c>
      <c r="C38" s="1847"/>
      <c r="D38" s="1847"/>
      <c r="E38" s="1847"/>
      <c r="F38" s="1847"/>
      <c r="G38" s="1847"/>
      <c r="H38" s="1847"/>
    </row>
    <row r="39" spans="1:8" ht="12.75" customHeight="1">
      <c r="A39" s="1860" t="s">
        <v>1873</v>
      </c>
      <c r="B39" s="1861" t="s">
        <v>1902</v>
      </c>
      <c r="C39" s="1860" t="s">
        <v>1835</v>
      </c>
      <c r="D39" s="1860" t="s">
        <v>1848</v>
      </c>
      <c r="E39" s="1863">
        <v>0.67</v>
      </c>
      <c r="F39" s="1863">
        <v>0.7</v>
      </c>
      <c r="G39" s="1863">
        <v>0.7</v>
      </c>
      <c r="H39" s="1860" t="s">
        <v>1842</v>
      </c>
    </row>
    <row r="40" spans="1:8" ht="30" customHeight="1">
      <c r="A40" s="1860"/>
      <c r="B40" s="1862"/>
      <c r="C40" s="1860"/>
      <c r="D40" s="1860"/>
      <c r="E40" s="1864"/>
      <c r="F40" s="1864"/>
      <c r="G40" s="1864"/>
      <c r="H40" s="1860"/>
    </row>
    <row r="41" spans="1:8" ht="12.75" customHeight="1">
      <c r="A41" s="1860" t="s">
        <v>1874</v>
      </c>
      <c r="B41" s="1861" t="s">
        <v>2510</v>
      </c>
      <c r="C41" s="1860" t="s">
        <v>1835</v>
      </c>
      <c r="D41" s="1860" t="s">
        <v>2511</v>
      </c>
      <c r="E41" s="1861" t="s">
        <v>2512</v>
      </c>
      <c r="F41" s="1861">
        <v>3.5</v>
      </c>
      <c r="G41" s="1861">
        <v>3.5</v>
      </c>
      <c r="H41" s="1860" t="s">
        <v>1842</v>
      </c>
    </row>
    <row r="42" spans="1:8" ht="27.75" customHeight="1">
      <c r="A42" s="1860"/>
      <c r="B42" s="1862"/>
      <c r="C42" s="1860"/>
      <c r="D42" s="1860"/>
      <c r="E42" s="1862"/>
      <c r="F42" s="1862"/>
      <c r="G42" s="1862"/>
      <c r="H42" s="1860"/>
    </row>
    <row r="43" spans="1:8" ht="22.2" customHeight="1">
      <c r="A43" s="1860" t="s">
        <v>1875</v>
      </c>
      <c r="B43" s="1865" t="s">
        <v>2745</v>
      </c>
      <c r="C43" s="1860" t="s">
        <v>1835</v>
      </c>
      <c r="D43" s="1860">
        <v>100</v>
      </c>
      <c r="E43" s="1861">
        <v>100</v>
      </c>
      <c r="F43" s="1861">
        <v>100</v>
      </c>
      <c r="G43" s="1861">
        <v>100</v>
      </c>
      <c r="H43" s="1861" t="s">
        <v>2515</v>
      </c>
    </row>
    <row r="44" spans="1:8" ht="28.5" customHeight="1">
      <c r="A44" s="1860"/>
      <c r="B44" s="1865"/>
      <c r="C44" s="1860"/>
      <c r="D44" s="1860"/>
      <c r="E44" s="1862"/>
      <c r="F44" s="1862"/>
      <c r="G44" s="1862"/>
      <c r="H44" s="1862"/>
    </row>
    <row r="45" spans="1:8" ht="34.75">
      <c r="A45" s="442" t="s">
        <v>1877</v>
      </c>
      <c r="B45" s="442" t="s">
        <v>1878</v>
      </c>
      <c r="C45" s="442" t="s">
        <v>1835</v>
      </c>
      <c r="D45" s="442" t="s">
        <v>2513</v>
      </c>
      <c r="E45" s="442">
        <v>100</v>
      </c>
      <c r="F45" s="442">
        <v>100</v>
      </c>
      <c r="G45" s="442">
        <v>100</v>
      </c>
      <c r="H45" s="442" t="s">
        <v>1842</v>
      </c>
    </row>
    <row r="46" spans="1:8" ht="34.75">
      <c r="A46" s="442" t="s">
        <v>1879</v>
      </c>
      <c r="B46" s="442" t="s">
        <v>1880</v>
      </c>
      <c r="C46" s="442" t="s">
        <v>1835</v>
      </c>
      <c r="D46" s="442">
        <v>100</v>
      </c>
      <c r="E46" s="442">
        <v>100</v>
      </c>
      <c r="F46" s="442">
        <v>100</v>
      </c>
      <c r="G46" s="442">
        <v>100</v>
      </c>
      <c r="H46" s="442" t="s">
        <v>1842</v>
      </c>
    </row>
    <row r="47" spans="1:8" ht="28.5" customHeight="1">
      <c r="A47" s="444" t="s">
        <v>1050</v>
      </c>
      <c r="B47" s="1847" t="s">
        <v>1881</v>
      </c>
      <c r="C47" s="1847"/>
      <c r="D47" s="1847"/>
      <c r="E47" s="1847"/>
      <c r="F47" s="1847"/>
      <c r="G47" s="1847"/>
      <c r="H47" s="1847"/>
    </row>
    <row r="48" spans="1:8" ht="23.15">
      <c r="A48" s="442" t="s">
        <v>1882</v>
      </c>
      <c r="B48" s="442" t="s">
        <v>1883</v>
      </c>
      <c r="C48" s="442" t="s">
        <v>1824</v>
      </c>
      <c r="D48" s="442">
        <v>73.53</v>
      </c>
      <c r="E48" s="442">
        <v>74</v>
      </c>
      <c r="F48" s="442">
        <v>75</v>
      </c>
      <c r="G48" s="442">
        <v>75</v>
      </c>
      <c r="H48" s="442" t="s">
        <v>1884</v>
      </c>
    </row>
    <row r="49" spans="1:8" ht="34.75">
      <c r="A49" s="442" t="s">
        <v>1885</v>
      </c>
      <c r="B49" s="442" t="s">
        <v>1886</v>
      </c>
      <c r="C49" s="442" t="s">
        <v>1824</v>
      </c>
      <c r="D49" s="445">
        <v>63.6</v>
      </c>
      <c r="E49" s="445">
        <v>65</v>
      </c>
      <c r="F49" s="445">
        <v>67</v>
      </c>
      <c r="G49" s="445">
        <v>68</v>
      </c>
      <c r="H49" s="442" t="s">
        <v>1876</v>
      </c>
    </row>
    <row r="50" spans="1:8" ht="34.75">
      <c r="A50" s="442" t="s">
        <v>1887</v>
      </c>
      <c r="B50" s="442" t="s">
        <v>1888</v>
      </c>
      <c r="C50" s="442" t="s">
        <v>1824</v>
      </c>
      <c r="D50" s="442">
        <v>690</v>
      </c>
      <c r="E50" s="442">
        <v>700</v>
      </c>
      <c r="F50" s="442">
        <v>705</v>
      </c>
      <c r="G50" s="442">
        <v>710</v>
      </c>
      <c r="H50" s="442" t="s">
        <v>1889</v>
      </c>
    </row>
    <row r="51" spans="1:8" ht="30" customHeight="1">
      <c r="A51" s="442" t="s">
        <v>1890</v>
      </c>
      <c r="B51" s="442" t="s">
        <v>1891</v>
      </c>
      <c r="C51" s="442" t="s">
        <v>1824</v>
      </c>
      <c r="D51" s="442">
        <v>26</v>
      </c>
      <c r="E51" s="442">
        <v>27</v>
      </c>
      <c r="F51" s="442">
        <v>28</v>
      </c>
      <c r="G51" s="442">
        <v>29</v>
      </c>
      <c r="H51" s="1860" t="s">
        <v>1892</v>
      </c>
    </row>
    <row r="52" spans="1:8" ht="23.15">
      <c r="A52" s="442" t="s">
        <v>1893</v>
      </c>
      <c r="B52" s="442" t="s">
        <v>1894</v>
      </c>
      <c r="C52" s="442" t="s">
        <v>1824</v>
      </c>
      <c r="D52" s="442">
        <v>522</v>
      </c>
      <c r="E52" s="442">
        <v>530</v>
      </c>
      <c r="F52" s="442">
        <v>535</v>
      </c>
      <c r="G52" s="442">
        <v>540</v>
      </c>
      <c r="H52" s="1860"/>
    </row>
    <row r="53" spans="1:8">
      <c r="A53" s="444" t="s">
        <v>1051</v>
      </c>
      <c r="B53" s="1847" t="s">
        <v>1895</v>
      </c>
      <c r="C53" s="1847"/>
      <c r="D53" s="1847"/>
      <c r="E53" s="444"/>
      <c r="F53" s="444"/>
      <c r="G53" s="444"/>
      <c r="H53" s="444"/>
    </row>
    <row r="54" spans="1:8" ht="46.3">
      <c r="A54" s="442" t="s">
        <v>1896</v>
      </c>
      <c r="B54" s="442" t="s">
        <v>1897</v>
      </c>
      <c r="C54" s="442" t="s">
        <v>1835</v>
      </c>
      <c r="D54" s="442" t="s">
        <v>1848</v>
      </c>
      <c r="E54" s="445">
        <v>75</v>
      </c>
      <c r="F54" s="445">
        <v>75</v>
      </c>
      <c r="G54" s="445">
        <v>77</v>
      </c>
      <c r="H54" s="442" t="s">
        <v>1898</v>
      </c>
    </row>
    <row r="55" spans="1:8" ht="23.15">
      <c r="A55" s="442" t="s">
        <v>1899</v>
      </c>
      <c r="B55" s="442" t="s">
        <v>1900</v>
      </c>
      <c r="C55" s="442" t="s">
        <v>1835</v>
      </c>
      <c r="D55" s="442" t="s">
        <v>1848</v>
      </c>
      <c r="E55" s="445">
        <v>93.6</v>
      </c>
      <c r="F55" s="445">
        <v>94</v>
      </c>
      <c r="G55" s="445">
        <v>95</v>
      </c>
      <c r="H55" s="442" t="s">
        <v>1901</v>
      </c>
    </row>
  </sheetData>
  <mergeCells count="37">
    <mergeCell ref="C28:C31"/>
    <mergeCell ref="H28:H31"/>
    <mergeCell ref="B34:H34"/>
    <mergeCell ref="B38:H38"/>
    <mergeCell ref="H43:H44"/>
    <mergeCell ref="B41:B42"/>
    <mergeCell ref="E41:E42"/>
    <mergeCell ref="F41:F42"/>
    <mergeCell ref="G41:G42"/>
    <mergeCell ref="E43:E44"/>
    <mergeCell ref="F43:F44"/>
    <mergeCell ref="G43:G44"/>
    <mergeCell ref="B47:H47"/>
    <mergeCell ref="H51:H52"/>
    <mergeCell ref="B53:D53"/>
    <mergeCell ref="A41:A42"/>
    <mergeCell ref="C41:C42"/>
    <mergeCell ref="D41:D42"/>
    <mergeCell ref="H41:H42"/>
    <mergeCell ref="A43:A44"/>
    <mergeCell ref="B43:B44"/>
    <mergeCell ref="C43:C44"/>
    <mergeCell ref="D43:D44"/>
    <mergeCell ref="A39:A40"/>
    <mergeCell ref="C39:C40"/>
    <mergeCell ref="D39:D40"/>
    <mergeCell ref="H39:H40"/>
    <mergeCell ref="B39:B40"/>
    <mergeCell ref="E39:E40"/>
    <mergeCell ref="F39:F40"/>
    <mergeCell ref="G39:G40"/>
    <mergeCell ref="A2:H2"/>
    <mergeCell ref="B7:H7"/>
    <mergeCell ref="B12:H12"/>
    <mergeCell ref="B23:H23"/>
    <mergeCell ref="C24:C27"/>
    <mergeCell ref="H24:H27"/>
  </mergeCells>
  <pageMargins left="0.7" right="0.7" top="0.75" bottom="0.75" header="0.3" footer="0.3"/>
  <pageSetup paperSize="9" scale="80"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92783-4965-400D-A2EF-4B6BFF04E7DD}">
  <sheetPr codeName="Lapas11"/>
  <dimension ref="A1:T1090"/>
  <sheetViews>
    <sheetView topLeftCell="I38" zoomScale="98" zoomScaleNormal="98" workbookViewId="0">
      <selection activeCell="J40" sqref="J40:J41"/>
    </sheetView>
  </sheetViews>
  <sheetFormatPr defaultColWidth="9.15234375" defaultRowHeight="8.6"/>
  <cols>
    <col min="1" max="1" width="15.3046875" style="371" customWidth="1"/>
    <col min="2" max="2" width="33.3046875" style="371" customWidth="1"/>
    <col min="3" max="3" width="5.84375" style="371" customWidth="1"/>
    <col min="4" max="4" width="6.3046875" style="371" customWidth="1"/>
    <col min="5" max="6" width="13.3046875" style="380" customWidth="1"/>
    <col min="7" max="7" width="12.69140625" style="371" customWidth="1"/>
    <col min="8" max="8" width="16.15234375" style="371" customWidth="1"/>
    <col min="9" max="9" width="11.84375" style="371" customWidth="1"/>
    <col min="10" max="10" width="63.3046875" style="1520" customWidth="1"/>
    <col min="11" max="11" width="12.53515625" style="371" customWidth="1"/>
    <col min="12" max="12" width="30.53515625" style="371" customWidth="1"/>
    <col min="13" max="13" width="20" style="371" customWidth="1"/>
    <col min="14" max="14" width="18" style="371" customWidth="1"/>
    <col min="15" max="17" width="6.3046875" style="394" hidden="1" customWidth="1"/>
    <col min="18" max="18" width="29.3828125" style="371" hidden="1" customWidth="1"/>
    <col min="19" max="19" width="25.84375" style="371" hidden="1" customWidth="1"/>
    <col min="20" max="20" width="15.15234375" style="371" customWidth="1"/>
    <col min="21" max="22" width="8.84375" style="371" customWidth="1"/>
    <col min="23" max="16384" width="9.15234375" style="371"/>
  </cols>
  <sheetData>
    <row r="1" spans="1:20" ht="18" customHeight="1">
      <c r="A1" s="1901" t="s">
        <v>2195</v>
      </c>
      <c r="B1" s="1901"/>
      <c r="C1" s="1901"/>
      <c r="D1" s="1901"/>
      <c r="E1" s="1901"/>
      <c r="F1" s="1901"/>
      <c r="G1" s="1901"/>
      <c r="H1" s="1901"/>
      <c r="I1" s="449"/>
      <c r="J1" s="1489"/>
      <c r="K1" s="374"/>
      <c r="L1" s="374"/>
      <c r="M1" s="374"/>
      <c r="N1" s="374"/>
      <c r="O1" s="1901"/>
      <c r="P1" s="1901"/>
      <c r="Q1" s="1901"/>
      <c r="R1" s="1901"/>
    </row>
    <row r="2" spans="1:20" ht="40.5" customHeight="1">
      <c r="A2" s="1867" t="s">
        <v>2643</v>
      </c>
      <c r="B2" s="1867"/>
      <c r="C2" s="1867"/>
      <c r="D2" s="1867"/>
      <c r="E2" s="1867"/>
      <c r="F2" s="1867"/>
      <c r="G2" s="1867"/>
      <c r="H2" s="1867"/>
      <c r="I2" s="1867"/>
      <c r="J2" s="1867"/>
      <c r="K2" s="1867"/>
      <c r="L2" s="1867"/>
      <c r="M2" s="1867"/>
      <c r="N2" s="1867"/>
      <c r="O2" s="1867"/>
      <c r="P2" s="1867"/>
      <c r="Q2" s="1867"/>
      <c r="R2" s="1867"/>
    </row>
    <row r="3" spans="1:20" ht="12.65" customHeight="1">
      <c r="A3" s="448"/>
      <c r="B3" s="448"/>
      <c r="C3" s="448"/>
      <c r="D3" s="448"/>
      <c r="E3" s="448"/>
      <c r="F3" s="448"/>
      <c r="G3" s="373"/>
      <c r="H3" s="373"/>
      <c r="I3" s="449"/>
      <c r="J3" s="1489"/>
      <c r="K3" s="374"/>
      <c r="L3" s="374"/>
      <c r="M3" s="374"/>
      <c r="N3" s="374"/>
      <c r="O3" s="452"/>
      <c r="P3" s="452"/>
      <c r="Q3" s="452"/>
      <c r="R3" s="373"/>
    </row>
    <row r="4" spans="1:20" s="374" customFormat="1" ht="12.65" customHeight="1">
      <c r="A4" s="448" t="str">
        <f>A12</f>
        <v>03.01.01. (T)</v>
      </c>
      <c r="B4" s="1867" t="str">
        <f>B12</f>
        <v>Užtikrinti efektyvią  įstaigų, veikiančių sporto srityje, veiklą</v>
      </c>
      <c r="C4" s="1867"/>
      <c r="D4" s="1867"/>
      <c r="E4" s="1867"/>
      <c r="F4" s="1867"/>
      <c r="G4" s="449"/>
      <c r="H4" s="449"/>
      <c r="I4" s="449"/>
      <c r="J4" s="1489"/>
      <c r="O4" s="452"/>
      <c r="P4" s="452"/>
      <c r="Q4" s="452"/>
      <c r="R4" s="373"/>
    </row>
    <row r="5" spans="1:20" s="374" customFormat="1" ht="12" customHeight="1">
      <c r="A5" s="450" t="str">
        <f>A22</f>
        <v>03.01.02. (T)</v>
      </c>
      <c r="B5" s="1900" t="str">
        <f>B22</f>
        <v>Plėtoti ir tobulinti sporto varžybas ir sporto sveikatingumo renginius siekiant įtraukti vaikus, jaunimą ir kitas gyventojų grupes į sportinę veiklą, rengti sporto specialistus</v>
      </c>
      <c r="C5" s="1900"/>
      <c r="D5" s="1900"/>
      <c r="E5" s="1900"/>
      <c r="F5" s="1900"/>
      <c r="G5" s="1900"/>
      <c r="H5" s="1900"/>
      <c r="I5" s="451"/>
      <c r="J5" s="1489"/>
      <c r="O5" s="452"/>
      <c r="P5" s="452"/>
      <c r="Q5" s="452"/>
      <c r="R5" s="373"/>
    </row>
    <row r="6" spans="1:20" ht="7.2" customHeight="1">
      <c r="A6" s="623"/>
      <c r="B6" s="624"/>
      <c r="C6" s="624"/>
      <c r="D6" s="624"/>
      <c r="E6" s="624"/>
      <c r="F6" s="624"/>
      <c r="G6" s="624"/>
      <c r="H6" s="624"/>
      <c r="I6" s="625"/>
      <c r="J6" s="1489"/>
      <c r="K6" s="374"/>
      <c r="L6" s="374"/>
      <c r="M6" s="374"/>
      <c r="N6" s="374"/>
      <c r="O6" s="452"/>
      <c r="P6" s="452"/>
      <c r="Q6" s="452"/>
      <c r="R6" s="373"/>
    </row>
    <row r="7" spans="1:20" s="374" customFormat="1" ht="15" customHeight="1">
      <c r="A7" s="1867" t="s">
        <v>2853</v>
      </c>
      <c r="B7" s="1867"/>
      <c r="C7" s="1867" t="s">
        <v>2889</v>
      </c>
      <c r="D7" s="1867"/>
      <c r="E7" s="1867"/>
      <c r="F7" s="1867"/>
      <c r="G7" s="604"/>
      <c r="H7" s="604"/>
      <c r="I7" s="604"/>
      <c r="J7" s="1489"/>
      <c r="O7" s="452"/>
      <c r="P7" s="452"/>
      <c r="Q7" s="452"/>
      <c r="R7" s="373"/>
    </row>
    <row r="8" spans="1:20" s="374" customFormat="1" ht="15.75" customHeight="1">
      <c r="A8" s="1867" t="s">
        <v>2797</v>
      </c>
      <c r="B8" s="1867"/>
      <c r="C8" s="1867"/>
      <c r="D8" s="1867"/>
      <c r="E8" s="1867"/>
      <c r="F8" s="1867"/>
      <c r="G8" s="1867"/>
      <c r="H8" s="1867"/>
      <c r="I8" s="1867"/>
      <c r="J8" s="1867"/>
      <c r="O8" s="452"/>
      <c r="P8" s="452"/>
      <c r="Q8" s="452"/>
      <c r="R8" s="373"/>
    </row>
    <row r="9" spans="1:20" ht="13.95" customHeight="1">
      <c r="A9" s="1867" t="s">
        <v>3696</v>
      </c>
      <c r="B9" s="1867"/>
      <c r="C9" s="1867"/>
      <c r="D9" s="1867"/>
      <c r="E9" s="1867"/>
      <c r="F9" s="1867"/>
      <c r="G9" s="1867"/>
      <c r="H9" s="1867"/>
      <c r="I9" s="1867"/>
      <c r="J9" s="1867"/>
      <c r="K9" s="1867"/>
      <c r="L9" s="1867"/>
      <c r="M9" s="1867"/>
      <c r="N9" s="1867"/>
      <c r="O9" s="1867"/>
      <c r="P9" s="1867"/>
      <c r="Q9" s="1867"/>
      <c r="R9" s="1867"/>
    </row>
    <row r="10" spans="1:20" s="488" customFormat="1" ht="40.5" customHeight="1">
      <c r="A10" s="1681" t="s">
        <v>994</v>
      </c>
      <c r="B10" s="1681" t="s">
        <v>1933</v>
      </c>
      <c r="C10" s="1907" t="s">
        <v>1318</v>
      </c>
      <c r="D10" s="1909" t="s">
        <v>1319</v>
      </c>
      <c r="E10" s="1784" t="s">
        <v>2857</v>
      </c>
      <c r="F10" s="1784" t="s">
        <v>2856</v>
      </c>
      <c r="G10" s="1784" t="s">
        <v>2858</v>
      </c>
      <c r="H10" s="1784" t="s">
        <v>2859</v>
      </c>
      <c r="I10" s="1784" t="s">
        <v>1969</v>
      </c>
      <c r="J10" s="1681" t="s">
        <v>2750</v>
      </c>
      <c r="K10" s="1680" t="s">
        <v>2861</v>
      </c>
      <c r="L10" s="1680" t="s">
        <v>2864</v>
      </c>
      <c r="M10" s="1902" t="s">
        <v>2865</v>
      </c>
      <c r="N10" s="1904"/>
      <c r="O10" s="1902" t="s">
        <v>995</v>
      </c>
      <c r="P10" s="1903"/>
      <c r="Q10" s="1904"/>
      <c r="R10" s="1905" t="s">
        <v>996</v>
      </c>
      <c r="T10" s="1680" t="s">
        <v>3733</v>
      </c>
    </row>
    <row r="11" spans="1:20" s="488" customFormat="1" ht="51.75" customHeight="1">
      <c r="A11" s="1682"/>
      <c r="B11" s="1682"/>
      <c r="C11" s="1908"/>
      <c r="D11" s="1910"/>
      <c r="E11" s="1785"/>
      <c r="F11" s="1785"/>
      <c r="G11" s="1785"/>
      <c r="H11" s="1785"/>
      <c r="I11" s="1785"/>
      <c r="J11" s="1682"/>
      <c r="K11" s="1680"/>
      <c r="L11" s="1680"/>
      <c r="M11" s="463" t="s">
        <v>2862</v>
      </c>
      <c r="N11" s="463" t="s">
        <v>2863</v>
      </c>
      <c r="O11" s="454">
        <v>2024</v>
      </c>
      <c r="P11" s="454">
        <v>2025</v>
      </c>
      <c r="Q11" s="454">
        <v>2026</v>
      </c>
      <c r="R11" s="1906"/>
      <c r="T11" s="1680"/>
    </row>
    <row r="12" spans="1:20" s="367" customFormat="1" ht="39.65" customHeight="1">
      <c r="A12" s="496" t="s">
        <v>1975</v>
      </c>
      <c r="B12" s="496" t="s">
        <v>1378</v>
      </c>
      <c r="C12" s="1041"/>
      <c r="D12" s="902"/>
      <c r="E12" s="691">
        <f>SUM(E15)</f>
        <v>1102.03</v>
      </c>
      <c r="F12" s="691">
        <f t="shared" ref="F12:G12" si="0">SUM(F15)</f>
        <v>1225.43</v>
      </c>
      <c r="G12" s="691">
        <f t="shared" si="0"/>
        <v>1228.53</v>
      </c>
      <c r="H12" s="1042">
        <f>G12/F12</f>
        <v>1.0025297242600555</v>
      </c>
      <c r="I12" s="496" t="s">
        <v>1128</v>
      </c>
      <c r="J12" s="1875"/>
      <c r="K12" s="1876"/>
      <c r="L12" s="1876"/>
      <c r="M12" s="1876"/>
      <c r="N12" s="1876"/>
      <c r="O12" s="1876"/>
      <c r="P12" s="1876"/>
      <c r="Q12" s="1876"/>
      <c r="R12" s="1876"/>
      <c r="S12" s="1876"/>
      <c r="T12" s="1877"/>
    </row>
    <row r="13" spans="1:20" ht="21" customHeight="1">
      <c r="A13" s="1883" t="s">
        <v>1976</v>
      </c>
      <c r="B13" s="1911" t="s">
        <v>1379</v>
      </c>
      <c r="C13" s="1917" t="s">
        <v>1401</v>
      </c>
      <c r="D13" s="656" t="s">
        <v>668</v>
      </c>
      <c r="E13" s="701">
        <v>1077.3499999999999</v>
      </c>
      <c r="F13" s="701">
        <v>1200.75</v>
      </c>
      <c r="G13" s="701">
        <v>1203.8499999999999</v>
      </c>
      <c r="H13" s="1043">
        <f>G13/F13</f>
        <v>1.0025817197584843</v>
      </c>
      <c r="I13" s="1701" t="s">
        <v>2218</v>
      </c>
      <c r="J13" s="1887" t="s">
        <v>3765</v>
      </c>
      <c r="K13" s="1869" t="s">
        <v>595</v>
      </c>
      <c r="L13" s="1869" t="s">
        <v>2896</v>
      </c>
      <c r="M13" s="1869" t="s">
        <v>449</v>
      </c>
      <c r="N13" s="1869" t="s">
        <v>449</v>
      </c>
      <c r="O13" s="1869" t="s">
        <v>1531</v>
      </c>
      <c r="P13" s="1869" t="s">
        <v>1531</v>
      </c>
      <c r="Q13" s="1869" t="s">
        <v>1531</v>
      </c>
      <c r="R13" s="1869" t="s">
        <v>2219</v>
      </c>
      <c r="S13" s="818"/>
      <c r="T13" s="1874" t="s">
        <v>3544</v>
      </c>
    </row>
    <row r="14" spans="1:20" ht="28.2" customHeight="1">
      <c r="A14" s="1766"/>
      <c r="B14" s="1912"/>
      <c r="C14" s="1918"/>
      <c r="D14" s="656" t="s">
        <v>1351</v>
      </c>
      <c r="E14" s="701">
        <v>24.68</v>
      </c>
      <c r="F14" s="701">
        <v>24.68</v>
      </c>
      <c r="G14" s="701">
        <v>24.68</v>
      </c>
      <c r="H14" s="1043">
        <f>G14/F14</f>
        <v>1</v>
      </c>
      <c r="I14" s="1882"/>
      <c r="J14" s="1887"/>
      <c r="K14" s="1869"/>
      <c r="L14" s="1869"/>
      <c r="M14" s="1869"/>
      <c r="N14" s="1869"/>
      <c r="O14" s="1869"/>
      <c r="P14" s="1869"/>
      <c r="Q14" s="1869"/>
      <c r="R14" s="1869"/>
      <c r="S14" s="818"/>
      <c r="T14" s="1874"/>
    </row>
    <row r="15" spans="1:20" ht="31.95" customHeight="1">
      <c r="A15" s="1766"/>
      <c r="B15" s="1912"/>
      <c r="C15" s="1918"/>
      <c r="D15" s="705" t="s">
        <v>1321</v>
      </c>
      <c r="E15" s="706">
        <f>SUM(E13:E14)</f>
        <v>1102.03</v>
      </c>
      <c r="F15" s="706">
        <f t="shared" ref="F15:G15" si="1">SUM(F13:F14)</f>
        <v>1225.43</v>
      </c>
      <c r="G15" s="706">
        <f t="shared" si="1"/>
        <v>1228.53</v>
      </c>
      <c r="H15" s="1045">
        <f>G15/F15</f>
        <v>1.0025297242600555</v>
      </c>
      <c r="I15" s="1882"/>
      <c r="J15" s="1887"/>
      <c r="K15" s="1869"/>
      <c r="L15" s="817" t="s">
        <v>2897</v>
      </c>
      <c r="M15" s="817" t="s">
        <v>3299</v>
      </c>
      <c r="N15" s="817" t="s">
        <v>3122</v>
      </c>
      <c r="O15" s="1869"/>
      <c r="P15" s="1869"/>
      <c r="Q15" s="1869"/>
      <c r="R15" s="1869"/>
      <c r="S15" s="818"/>
      <c r="T15" s="1874"/>
    </row>
    <row r="16" spans="1:20" ht="28.95" hidden="1" customHeight="1">
      <c r="A16" s="1046"/>
      <c r="B16" s="606" t="s">
        <v>2548</v>
      </c>
      <c r="C16" s="1047"/>
      <c r="D16" s="1048"/>
      <c r="E16" s="1049"/>
      <c r="F16" s="1049"/>
      <c r="G16" s="1050">
        <v>860.35</v>
      </c>
      <c r="H16" s="1051"/>
      <c r="I16" s="1051"/>
      <c r="J16" s="1514"/>
      <c r="K16" s="606"/>
      <c r="L16" s="606"/>
      <c r="M16" s="1052" t="s">
        <v>3017</v>
      </c>
      <c r="N16" s="1052" t="s">
        <v>3119</v>
      </c>
      <c r="O16" s="551"/>
      <c r="P16" s="551"/>
      <c r="Q16" s="551"/>
      <c r="R16" s="551"/>
      <c r="S16" s="1053"/>
      <c r="T16" s="1054"/>
    </row>
    <row r="17" spans="1:20" ht="20.149999999999999" hidden="1" customHeight="1">
      <c r="A17" s="1046"/>
      <c r="B17" s="606" t="s">
        <v>2549</v>
      </c>
      <c r="C17" s="1047"/>
      <c r="D17" s="1048"/>
      <c r="E17" s="1049"/>
      <c r="F17" s="1049"/>
      <c r="G17" s="1050">
        <v>166.2</v>
      </c>
      <c r="H17" s="1051"/>
      <c r="I17" s="1051"/>
      <c r="J17" s="1514"/>
      <c r="K17" s="606"/>
      <c r="L17" s="606"/>
      <c r="M17" s="606" t="s">
        <v>1604</v>
      </c>
      <c r="N17" s="1055" t="s">
        <v>3120</v>
      </c>
      <c r="O17" s="551"/>
      <c r="P17" s="551"/>
      <c r="Q17" s="551"/>
      <c r="R17" s="551"/>
      <c r="S17" s="1053"/>
      <c r="T17" s="1054"/>
    </row>
    <row r="18" spans="1:20" ht="20.149999999999999" hidden="1" customHeight="1">
      <c r="A18" s="1046"/>
      <c r="B18" s="606" t="s">
        <v>2550</v>
      </c>
      <c r="C18" s="1047"/>
      <c r="D18" s="1048"/>
      <c r="E18" s="1049"/>
      <c r="F18" s="1049"/>
      <c r="G18" s="1050">
        <v>107.5</v>
      </c>
      <c r="H18" s="1051"/>
      <c r="I18" s="1051"/>
      <c r="J18" s="1514"/>
      <c r="K18" s="606"/>
      <c r="L18" s="606"/>
      <c r="M18" s="606" t="s">
        <v>449</v>
      </c>
      <c r="N18" s="606" t="s">
        <v>3121</v>
      </c>
      <c r="O18" s="551"/>
      <c r="P18" s="551"/>
      <c r="Q18" s="551"/>
      <c r="R18" s="551"/>
      <c r="S18" s="1053"/>
      <c r="T18" s="1054"/>
    </row>
    <row r="19" spans="1:20" ht="25.5" hidden="1" customHeight="1">
      <c r="A19" s="1046"/>
      <c r="B19" s="606" t="s">
        <v>2551</v>
      </c>
      <c r="C19" s="1047"/>
      <c r="D19" s="1048"/>
      <c r="E19" s="1049"/>
      <c r="F19" s="1049"/>
      <c r="G19" s="1050">
        <v>69.8</v>
      </c>
      <c r="H19" s="1051"/>
      <c r="I19" s="1051"/>
      <c r="J19" s="1514"/>
      <c r="K19" s="606"/>
      <c r="L19" s="606"/>
      <c r="M19" s="606" t="s">
        <v>2387</v>
      </c>
      <c r="N19" s="606" t="s">
        <v>1565</v>
      </c>
      <c r="O19" s="551"/>
      <c r="P19" s="551"/>
      <c r="Q19" s="551"/>
      <c r="R19" s="551"/>
      <c r="S19" s="1053"/>
      <c r="T19" s="1054"/>
    </row>
    <row r="20" spans="1:20" ht="25.5" hidden="1" customHeight="1">
      <c r="A20" s="1056"/>
      <c r="B20" s="551"/>
      <c r="C20" s="1057"/>
      <c r="D20" s="1058"/>
      <c r="E20" s="1059"/>
      <c r="F20" s="1060"/>
      <c r="G20" s="1061">
        <f>G16+G17+G18+G19</f>
        <v>1203.8499999999999</v>
      </c>
      <c r="H20" s="1062"/>
      <c r="I20" s="1062"/>
      <c r="J20" s="1515"/>
      <c r="K20" s="1063"/>
      <c r="L20" s="1063"/>
      <c r="M20" s="1063"/>
      <c r="N20" s="1063"/>
      <c r="O20" s="1063"/>
      <c r="P20" s="1063"/>
      <c r="Q20" s="1063"/>
      <c r="R20" s="1064"/>
      <c r="S20" s="1053"/>
      <c r="T20" s="1065"/>
    </row>
    <row r="21" spans="1:20" ht="25.5" hidden="1" customHeight="1">
      <c r="A21" s="1066"/>
      <c r="B21" s="486"/>
      <c r="C21" s="1067"/>
      <c r="D21" s="1068"/>
      <c r="E21" s="1069"/>
      <c r="F21" s="1069"/>
      <c r="G21" s="1070"/>
      <c r="H21" s="475"/>
      <c r="I21" s="475"/>
      <c r="J21" s="1516"/>
      <c r="K21" s="1089"/>
      <c r="L21" s="1089"/>
      <c r="M21" s="1089"/>
      <c r="N21" s="1089"/>
      <c r="O21" s="1089"/>
      <c r="P21" s="1089"/>
      <c r="Q21" s="1089"/>
      <c r="R21" s="1090"/>
      <c r="S21" s="1053"/>
      <c r="T21" s="1073"/>
    </row>
    <row r="22" spans="1:20" s="367" customFormat="1" ht="71.25" customHeight="1">
      <c r="A22" s="469" t="s">
        <v>1977</v>
      </c>
      <c r="B22" s="689" t="s">
        <v>1535</v>
      </c>
      <c r="C22" s="1071"/>
      <c r="D22" s="501"/>
      <c r="E22" s="502">
        <f>SUM(E25,E27,E29,E37,E39,E41)</f>
        <v>194.8</v>
      </c>
      <c r="F22" s="502">
        <f>SUM(F25,F27,F29,F37,F39,F41)</f>
        <v>71.400000000000006</v>
      </c>
      <c r="G22" s="502">
        <f>SUM(G25,G27,G29,G37,G39,G41)</f>
        <v>70.875</v>
      </c>
      <c r="H22" s="539">
        <f>G22/F22</f>
        <v>0.99264705882352933</v>
      </c>
      <c r="I22" s="502" t="s">
        <v>1140</v>
      </c>
      <c r="J22" s="1878"/>
      <c r="K22" s="1878"/>
      <c r="L22" s="1878"/>
      <c r="M22" s="1878"/>
      <c r="N22" s="1878"/>
      <c r="O22" s="1878"/>
      <c r="P22" s="1878"/>
      <c r="Q22" s="1878"/>
      <c r="R22" s="1878"/>
      <c r="S22" s="1878"/>
      <c r="T22" s="1878"/>
    </row>
    <row r="23" spans="1:20" ht="27.75" customHeight="1">
      <c r="A23" s="1883" t="s">
        <v>1978</v>
      </c>
      <c r="B23" s="1914" t="s">
        <v>1529</v>
      </c>
      <c r="C23" s="1915">
        <v>188711925</v>
      </c>
      <c r="D23" s="657" t="s">
        <v>668</v>
      </c>
      <c r="E23" s="701">
        <v>43.8</v>
      </c>
      <c r="F23" s="701">
        <v>25.8</v>
      </c>
      <c r="G23" s="701">
        <v>25.341999999999999</v>
      </c>
      <c r="H23" s="702">
        <f>G23/F23</f>
        <v>0.98224806201550385</v>
      </c>
      <c r="I23" s="1701" t="s">
        <v>2220</v>
      </c>
      <c r="J23" s="1913" t="s">
        <v>3766</v>
      </c>
      <c r="K23" s="1870" t="s">
        <v>32</v>
      </c>
      <c r="L23" s="1870" t="s">
        <v>1534</v>
      </c>
      <c r="M23" s="1870" t="s">
        <v>449</v>
      </c>
      <c r="N23" s="1870" t="s">
        <v>449</v>
      </c>
      <c r="O23" s="1870" t="s">
        <v>449</v>
      </c>
      <c r="P23" s="1870" t="s">
        <v>449</v>
      </c>
      <c r="Q23" s="1870" t="s">
        <v>449</v>
      </c>
      <c r="R23" s="1870" t="s">
        <v>2221</v>
      </c>
      <c r="S23" s="819" t="s">
        <v>2552</v>
      </c>
      <c r="T23" s="1879" t="s">
        <v>3544</v>
      </c>
    </row>
    <row r="24" spans="1:20" ht="27.75" hidden="1" customHeight="1">
      <c r="A24" s="1766"/>
      <c r="B24" s="1894"/>
      <c r="C24" s="1916"/>
      <c r="D24" s="657"/>
      <c r="E24" s="810"/>
      <c r="F24" s="701"/>
      <c r="G24" s="810"/>
      <c r="H24" s="701"/>
      <c r="I24" s="1882"/>
      <c r="J24" s="1913"/>
      <c r="K24" s="1870"/>
      <c r="L24" s="1870"/>
      <c r="M24" s="1870"/>
      <c r="N24" s="1870"/>
      <c r="O24" s="1870"/>
      <c r="P24" s="1870"/>
      <c r="Q24" s="1870"/>
      <c r="R24" s="1870"/>
      <c r="S24" s="819"/>
      <c r="T24" s="1879"/>
    </row>
    <row r="25" spans="1:20" ht="58.5" customHeight="1">
      <c r="A25" s="1767"/>
      <c r="B25" s="1895"/>
      <c r="C25" s="1891"/>
      <c r="D25" s="705" t="s">
        <v>1321</v>
      </c>
      <c r="E25" s="706">
        <f>E23</f>
        <v>43.8</v>
      </c>
      <c r="F25" s="706">
        <f t="shared" ref="F25:H25" si="2">F23</f>
        <v>25.8</v>
      </c>
      <c r="G25" s="706">
        <f t="shared" si="2"/>
        <v>25.341999999999999</v>
      </c>
      <c r="H25" s="707">
        <f t="shared" si="2"/>
        <v>0.98224806201550385</v>
      </c>
      <c r="I25" s="1702"/>
      <c r="J25" s="1913"/>
      <c r="K25" s="1868"/>
      <c r="L25" s="1868"/>
      <c r="M25" s="1868"/>
      <c r="N25" s="1868"/>
      <c r="O25" s="1868"/>
      <c r="P25" s="1868"/>
      <c r="Q25" s="1868"/>
      <c r="R25" s="1868"/>
      <c r="S25" s="819"/>
      <c r="T25" s="1880"/>
    </row>
    <row r="26" spans="1:20" ht="38.5" customHeight="1">
      <c r="A26" s="1765" t="s">
        <v>1979</v>
      </c>
      <c r="B26" s="1890" t="s">
        <v>3763</v>
      </c>
      <c r="C26" s="1886">
        <v>188711925</v>
      </c>
      <c r="D26" s="657" t="s">
        <v>668</v>
      </c>
      <c r="E26" s="701">
        <v>40</v>
      </c>
      <c r="F26" s="701">
        <v>0</v>
      </c>
      <c r="G26" s="701">
        <v>0</v>
      </c>
      <c r="H26" s="702">
        <v>0</v>
      </c>
      <c r="I26" s="1701" t="s">
        <v>2222</v>
      </c>
      <c r="J26" s="1887" t="s">
        <v>3767</v>
      </c>
      <c r="K26" s="1871" t="s">
        <v>586</v>
      </c>
      <c r="L26" s="1871" t="s">
        <v>2898</v>
      </c>
      <c r="M26" s="1637" t="s">
        <v>613</v>
      </c>
      <c r="N26" s="1637" t="s">
        <v>613</v>
      </c>
      <c r="O26" s="1637" t="s">
        <v>613</v>
      </c>
      <c r="P26" s="1637" t="s">
        <v>469</v>
      </c>
      <c r="Q26" s="1637" t="s">
        <v>613</v>
      </c>
      <c r="R26" s="1637" t="s">
        <v>2831</v>
      </c>
      <c r="S26" s="1053"/>
      <c r="T26" s="1881" t="s">
        <v>3626</v>
      </c>
    </row>
    <row r="27" spans="1:20" ht="39" customHeight="1">
      <c r="A27" s="1767"/>
      <c r="B27" s="1895"/>
      <c r="C27" s="1891"/>
      <c r="D27" s="705" t="s">
        <v>1321</v>
      </c>
      <c r="E27" s="706">
        <f>E26</f>
        <v>40</v>
      </c>
      <c r="F27" s="706">
        <f t="shared" ref="F27:G27" si="3">F26</f>
        <v>0</v>
      </c>
      <c r="G27" s="706">
        <f t="shared" si="3"/>
        <v>0</v>
      </c>
      <c r="H27" s="707">
        <v>0</v>
      </c>
      <c r="I27" s="1882"/>
      <c r="J27" s="1887"/>
      <c r="K27" s="1868"/>
      <c r="L27" s="1868"/>
      <c r="M27" s="1639"/>
      <c r="N27" s="1639"/>
      <c r="O27" s="1639"/>
      <c r="P27" s="1639"/>
      <c r="Q27" s="1639"/>
      <c r="R27" s="1638"/>
      <c r="S27" s="1072" t="s">
        <v>2553</v>
      </c>
      <c r="T27" s="1879"/>
    </row>
    <row r="28" spans="1:20" ht="31.5" customHeight="1">
      <c r="A28" s="1765" t="s">
        <v>1980</v>
      </c>
      <c r="B28" s="1890" t="s">
        <v>1380</v>
      </c>
      <c r="C28" s="1886">
        <v>188711925</v>
      </c>
      <c r="D28" s="657" t="s">
        <v>668</v>
      </c>
      <c r="E28" s="701">
        <v>12</v>
      </c>
      <c r="F28" s="701">
        <v>17</v>
      </c>
      <c r="G28" s="701">
        <v>17</v>
      </c>
      <c r="H28" s="702">
        <f>G28/F28</f>
        <v>1</v>
      </c>
      <c r="I28" s="1882"/>
      <c r="J28" s="1887" t="s">
        <v>3639</v>
      </c>
      <c r="K28" s="1871" t="s">
        <v>514</v>
      </c>
      <c r="L28" s="1871" t="s">
        <v>2940</v>
      </c>
      <c r="M28" s="1871" t="s">
        <v>1536</v>
      </c>
      <c r="N28" s="1871" t="s">
        <v>551</v>
      </c>
      <c r="O28" s="1637" t="s">
        <v>1536</v>
      </c>
      <c r="P28" s="1637" t="s">
        <v>1536</v>
      </c>
      <c r="Q28" s="1637" t="s">
        <v>1536</v>
      </c>
      <c r="R28" s="1638"/>
      <c r="S28" s="1053"/>
      <c r="T28" s="1665" t="s">
        <v>3574</v>
      </c>
    </row>
    <row r="29" spans="1:20" ht="81" customHeight="1">
      <c r="A29" s="1766"/>
      <c r="B29" s="1894"/>
      <c r="C29" s="1891"/>
      <c r="D29" s="705" t="s">
        <v>1321</v>
      </c>
      <c r="E29" s="706">
        <f>E28</f>
        <v>12</v>
      </c>
      <c r="F29" s="706">
        <f>F28</f>
        <v>17</v>
      </c>
      <c r="G29" s="706">
        <f>G28</f>
        <v>17</v>
      </c>
      <c r="H29" s="707">
        <f>H28</f>
        <v>1</v>
      </c>
      <c r="I29" s="1882"/>
      <c r="J29" s="1887"/>
      <c r="K29" s="1868"/>
      <c r="L29" s="1868"/>
      <c r="M29" s="1868"/>
      <c r="N29" s="1868"/>
      <c r="O29" s="1639"/>
      <c r="P29" s="1639"/>
      <c r="Q29" s="1639"/>
      <c r="R29" s="1638"/>
      <c r="S29" s="1053"/>
      <c r="T29" s="1671"/>
    </row>
    <row r="30" spans="1:20" ht="19.5" hidden="1" customHeight="1">
      <c r="A30" s="520"/>
      <c r="B30" s="921" t="s">
        <v>2550</v>
      </c>
      <c r="C30" s="1074"/>
      <c r="D30" s="911"/>
      <c r="E30" s="537"/>
      <c r="F30" s="537">
        <v>2.9390000000000001</v>
      </c>
      <c r="G30" s="719"/>
      <c r="H30" s="1075"/>
      <c r="I30" s="1882"/>
      <c r="J30" s="1517" t="s">
        <v>3111</v>
      </c>
      <c r="K30" s="483"/>
      <c r="L30" s="483"/>
      <c r="M30" s="483"/>
      <c r="N30" s="483"/>
      <c r="O30" s="526"/>
      <c r="P30" s="526"/>
      <c r="Q30" s="526"/>
      <c r="R30" s="1638"/>
      <c r="S30" s="1053"/>
      <c r="T30" s="720"/>
    </row>
    <row r="31" spans="1:20" ht="27.75" hidden="1" customHeight="1">
      <c r="A31" s="520"/>
      <c r="B31" s="921" t="s">
        <v>3113</v>
      </c>
      <c r="C31" s="1074"/>
      <c r="D31" s="911"/>
      <c r="E31" s="537"/>
      <c r="F31" s="537">
        <v>3</v>
      </c>
      <c r="G31" s="719"/>
      <c r="H31" s="1075"/>
      <c r="I31" s="1882"/>
      <c r="J31" s="1517" t="s">
        <v>3112</v>
      </c>
      <c r="K31" s="483"/>
      <c r="L31" s="483"/>
      <c r="M31" s="483"/>
      <c r="N31" s="483"/>
      <c r="O31" s="526"/>
      <c r="P31" s="526"/>
      <c r="Q31" s="526"/>
      <c r="R31" s="1638"/>
      <c r="S31" s="1053"/>
      <c r="T31" s="720"/>
    </row>
    <row r="32" spans="1:20" ht="18.75" hidden="1" customHeight="1">
      <c r="A32" s="520"/>
      <c r="B32" s="921" t="s">
        <v>3115</v>
      </c>
      <c r="C32" s="1074"/>
      <c r="D32" s="911"/>
      <c r="E32" s="537"/>
      <c r="F32" s="537">
        <v>2.56</v>
      </c>
      <c r="G32" s="719"/>
      <c r="H32" s="1075"/>
      <c r="I32" s="1882"/>
      <c r="J32" s="1517" t="s">
        <v>3114</v>
      </c>
      <c r="K32" s="483"/>
      <c r="L32" s="483"/>
      <c r="M32" s="483"/>
      <c r="N32" s="483"/>
      <c r="O32" s="526"/>
      <c r="P32" s="526"/>
      <c r="Q32" s="526"/>
      <c r="R32" s="1638"/>
      <c r="S32" s="1053"/>
      <c r="T32" s="720"/>
    </row>
    <row r="33" spans="1:20" ht="18.75" hidden="1" customHeight="1">
      <c r="A33" s="520"/>
      <c r="B33" s="921" t="s">
        <v>2943</v>
      </c>
      <c r="C33" s="1074"/>
      <c r="D33" s="911"/>
      <c r="E33" s="537"/>
      <c r="F33" s="537">
        <v>3</v>
      </c>
      <c r="G33" s="719"/>
      <c r="H33" s="1075"/>
      <c r="I33" s="1882"/>
      <c r="J33" s="1517" t="s">
        <v>3116</v>
      </c>
      <c r="K33" s="483"/>
      <c r="L33" s="483"/>
      <c r="M33" s="483"/>
      <c r="N33" s="483"/>
      <c r="O33" s="526"/>
      <c r="P33" s="526"/>
      <c r="Q33" s="526"/>
      <c r="R33" s="1638"/>
      <c r="S33" s="1053"/>
      <c r="T33" s="720"/>
    </row>
    <row r="34" spans="1:20" ht="17.25" hidden="1" customHeight="1">
      <c r="A34" s="520"/>
      <c r="B34" s="921" t="s">
        <v>3118</v>
      </c>
      <c r="C34" s="1074"/>
      <c r="D34" s="911"/>
      <c r="E34" s="537"/>
      <c r="F34" s="537">
        <v>0.501</v>
      </c>
      <c r="G34" s="719"/>
      <c r="H34" s="1075"/>
      <c r="I34" s="1882"/>
      <c r="J34" s="1517" t="s">
        <v>3117</v>
      </c>
      <c r="K34" s="483"/>
      <c r="L34" s="483"/>
      <c r="M34" s="483"/>
      <c r="N34" s="483"/>
      <c r="O34" s="526"/>
      <c r="P34" s="526"/>
      <c r="Q34" s="526"/>
      <c r="R34" s="1638"/>
      <c r="S34" s="1053"/>
      <c r="T34" s="720"/>
    </row>
    <row r="35" spans="1:20" ht="27" hidden="1" customHeight="1">
      <c r="A35" s="520"/>
      <c r="B35" s="921" t="s">
        <v>3505</v>
      </c>
      <c r="C35" s="1076"/>
      <c r="D35" s="720"/>
      <c r="E35" s="464"/>
      <c r="F35" s="464">
        <f>SUM(F30,F31,F32,F33,F34,)</f>
        <v>12</v>
      </c>
      <c r="G35" s="719"/>
      <c r="H35" s="1075"/>
      <c r="I35" s="1882"/>
      <c r="J35" s="1517" t="s">
        <v>3506</v>
      </c>
      <c r="K35" s="483"/>
      <c r="L35" s="483"/>
      <c r="M35" s="483"/>
      <c r="N35" s="483"/>
      <c r="O35" s="526"/>
      <c r="P35" s="526"/>
      <c r="Q35" s="526"/>
      <c r="R35" s="1638"/>
      <c r="S35" s="1053"/>
      <c r="T35" s="720"/>
    </row>
    <row r="36" spans="1:20" ht="37.200000000000003" customHeight="1">
      <c r="A36" s="1766" t="s">
        <v>1981</v>
      </c>
      <c r="B36" s="1894" t="s">
        <v>3764</v>
      </c>
      <c r="C36" s="1886">
        <v>188711925</v>
      </c>
      <c r="D36" s="657" t="s">
        <v>668</v>
      </c>
      <c r="E36" s="701">
        <v>2</v>
      </c>
      <c r="F36" s="701">
        <v>2</v>
      </c>
      <c r="G36" s="701">
        <v>2</v>
      </c>
      <c r="H36" s="702">
        <f>G36/F36</f>
        <v>1</v>
      </c>
      <c r="I36" s="1882"/>
      <c r="J36" s="1640" t="s">
        <v>2866</v>
      </c>
      <c r="K36" s="1637" t="s">
        <v>3504</v>
      </c>
      <c r="L36" s="1637" t="s">
        <v>1530</v>
      </c>
      <c r="M36" s="1637" t="s">
        <v>469</v>
      </c>
      <c r="N36" s="1637" t="s">
        <v>469</v>
      </c>
      <c r="O36" s="1637" t="s">
        <v>613</v>
      </c>
      <c r="P36" s="1637" t="s">
        <v>613</v>
      </c>
      <c r="Q36" s="1637" t="s">
        <v>613</v>
      </c>
      <c r="R36" s="1638"/>
      <c r="S36" s="1053"/>
      <c r="T36" s="1665" t="s">
        <v>3544</v>
      </c>
    </row>
    <row r="37" spans="1:20" ht="36.75" customHeight="1">
      <c r="A37" s="1767"/>
      <c r="B37" s="1895"/>
      <c r="C37" s="1891"/>
      <c r="D37" s="705" t="s">
        <v>1321</v>
      </c>
      <c r="E37" s="706">
        <f>E36</f>
        <v>2</v>
      </c>
      <c r="F37" s="706">
        <f>F36</f>
        <v>2</v>
      </c>
      <c r="G37" s="706">
        <f t="shared" ref="G37:H37" si="4">G36</f>
        <v>2</v>
      </c>
      <c r="H37" s="707">
        <f t="shared" si="4"/>
        <v>1</v>
      </c>
      <c r="I37" s="1882"/>
      <c r="J37" s="1641"/>
      <c r="K37" s="1639"/>
      <c r="L37" s="1639"/>
      <c r="M37" s="1639"/>
      <c r="N37" s="1639"/>
      <c r="O37" s="1639"/>
      <c r="P37" s="1639"/>
      <c r="Q37" s="1639"/>
      <c r="R37" s="1638"/>
      <c r="S37" s="1053"/>
      <c r="T37" s="1671"/>
    </row>
    <row r="38" spans="1:20" ht="39.65" customHeight="1">
      <c r="A38" s="1803" t="s">
        <v>1982</v>
      </c>
      <c r="B38" s="1889" t="s">
        <v>1381</v>
      </c>
      <c r="C38" s="1885">
        <v>188711925</v>
      </c>
      <c r="D38" s="657" t="s">
        <v>668</v>
      </c>
      <c r="E38" s="701">
        <v>62</v>
      </c>
      <c r="F38" s="701">
        <v>0</v>
      </c>
      <c r="G38" s="701">
        <v>0</v>
      </c>
      <c r="H38" s="702">
        <v>0</v>
      </c>
      <c r="I38" s="1882"/>
      <c r="J38" s="1887" t="s">
        <v>3575</v>
      </c>
      <c r="K38" s="1868" t="s">
        <v>157</v>
      </c>
      <c r="L38" s="1868" t="s">
        <v>2898</v>
      </c>
      <c r="M38" s="1871" t="s">
        <v>613</v>
      </c>
      <c r="N38" s="1871" t="s">
        <v>613</v>
      </c>
      <c r="O38" s="1637" t="s">
        <v>612</v>
      </c>
      <c r="P38" s="1637" t="s">
        <v>612</v>
      </c>
      <c r="Q38" s="1637" t="s">
        <v>612</v>
      </c>
      <c r="R38" s="1638"/>
      <c r="S38" s="1053"/>
      <c r="T38" s="1665" t="s">
        <v>3566</v>
      </c>
    </row>
    <row r="39" spans="1:20" ht="51.75" customHeight="1">
      <c r="A39" s="1803"/>
      <c r="B39" s="1890"/>
      <c r="C39" s="1886"/>
      <c r="D39" s="705" t="s">
        <v>1321</v>
      </c>
      <c r="E39" s="706">
        <f>E38</f>
        <v>62</v>
      </c>
      <c r="F39" s="706">
        <f t="shared" ref="F39:H39" si="5">F38</f>
        <v>0</v>
      </c>
      <c r="G39" s="706">
        <f t="shared" si="5"/>
        <v>0</v>
      </c>
      <c r="H39" s="707">
        <f t="shared" si="5"/>
        <v>0</v>
      </c>
      <c r="I39" s="1882"/>
      <c r="J39" s="1888"/>
      <c r="K39" s="1869"/>
      <c r="L39" s="1869"/>
      <c r="M39" s="1868"/>
      <c r="N39" s="1868"/>
      <c r="O39" s="1639"/>
      <c r="P39" s="1639"/>
      <c r="Q39" s="1639"/>
      <c r="R39" s="1638"/>
      <c r="S39" s="1053"/>
      <c r="T39" s="1671"/>
    </row>
    <row r="40" spans="1:20" ht="40.950000000000003" customHeight="1">
      <c r="A40" s="1803" t="s">
        <v>1983</v>
      </c>
      <c r="B40" s="1889" t="s">
        <v>1382</v>
      </c>
      <c r="C40" s="1885">
        <v>188711925</v>
      </c>
      <c r="D40" s="657" t="s">
        <v>668</v>
      </c>
      <c r="E40" s="701">
        <v>35</v>
      </c>
      <c r="F40" s="701">
        <v>26.6</v>
      </c>
      <c r="G40" s="701">
        <v>26.533000000000001</v>
      </c>
      <c r="H40" s="1077">
        <f>G40/F40</f>
        <v>0.99748120300751875</v>
      </c>
      <c r="I40" s="1882"/>
      <c r="J40" s="1887" t="s">
        <v>3768</v>
      </c>
      <c r="K40" s="1868" t="s">
        <v>723</v>
      </c>
      <c r="L40" s="1868" t="s">
        <v>2899</v>
      </c>
      <c r="M40" s="1871" t="s">
        <v>449</v>
      </c>
      <c r="N40" s="1871" t="s">
        <v>449</v>
      </c>
      <c r="O40" s="1637" t="s">
        <v>449</v>
      </c>
      <c r="P40" s="1637" t="s">
        <v>449</v>
      </c>
      <c r="Q40" s="1637" t="s">
        <v>449</v>
      </c>
      <c r="R40" s="1638"/>
      <c r="S40" s="1053"/>
      <c r="T40" s="1665" t="s">
        <v>3544</v>
      </c>
    </row>
    <row r="41" spans="1:20" ht="59.25" customHeight="1">
      <c r="A41" s="1803"/>
      <c r="B41" s="1890"/>
      <c r="C41" s="1886"/>
      <c r="D41" s="705" t="s">
        <v>1321</v>
      </c>
      <c r="E41" s="706">
        <f>E40</f>
        <v>35</v>
      </c>
      <c r="F41" s="706">
        <f t="shared" ref="F41:H41" si="6">F40</f>
        <v>26.6</v>
      </c>
      <c r="G41" s="706">
        <f t="shared" si="6"/>
        <v>26.533000000000001</v>
      </c>
      <c r="H41" s="1078">
        <f t="shared" si="6"/>
        <v>0.99748120300751875</v>
      </c>
      <c r="I41" s="1702"/>
      <c r="J41" s="1888"/>
      <c r="K41" s="1869"/>
      <c r="L41" s="1869"/>
      <c r="M41" s="1870"/>
      <c r="N41" s="1870"/>
      <c r="O41" s="1638"/>
      <c r="P41" s="1638"/>
      <c r="Q41" s="1638"/>
      <c r="R41" s="1638"/>
      <c r="S41" s="1053"/>
      <c r="T41" s="1666"/>
    </row>
    <row r="42" spans="1:20" ht="66" customHeight="1">
      <c r="A42" s="1892"/>
      <c r="B42" s="1892"/>
      <c r="C42" s="1892"/>
      <c r="D42" s="1893"/>
      <c r="E42" s="1027" t="str">
        <f>E10</f>
        <v>2023-02-02 sprendimu Nr. TS-17  patvirtintas planas</v>
      </c>
      <c r="F42" s="1079" t="s">
        <v>2856</v>
      </c>
      <c r="G42" s="1080" t="s">
        <v>2858</v>
      </c>
      <c r="H42" s="1080" t="s">
        <v>2859</v>
      </c>
      <c r="I42" s="1081"/>
      <c r="J42" s="1518"/>
      <c r="K42" s="1872"/>
      <c r="L42" s="1872"/>
      <c r="M42" s="1872"/>
      <c r="N42" s="1872"/>
      <c r="O42" s="1872"/>
      <c r="P42" s="1872"/>
      <c r="Q42" s="1872"/>
      <c r="R42" s="1872"/>
      <c r="S42" s="1872"/>
      <c r="T42" s="1873"/>
    </row>
    <row r="43" spans="1:20" ht="31.95" customHeight="1">
      <c r="A43" s="1691" t="s">
        <v>986</v>
      </c>
      <c r="B43" s="1691"/>
      <c r="C43" s="1691"/>
      <c r="D43" s="1691"/>
      <c r="E43" s="764">
        <f>E44+E45+E47+E48+E49+E50</f>
        <v>1296.83</v>
      </c>
      <c r="F43" s="764">
        <f t="shared" ref="F43:G43" si="7">F44+F45+F47+F48+F49+F50</f>
        <v>1296.83</v>
      </c>
      <c r="G43" s="764">
        <f t="shared" si="7"/>
        <v>1299.405</v>
      </c>
      <c r="H43" s="1083">
        <f>G43/F43</f>
        <v>1.0019856110669865</v>
      </c>
      <c r="I43" s="1898"/>
      <c r="J43" s="1898"/>
      <c r="K43" s="1898"/>
      <c r="L43" s="1898"/>
      <c r="M43" s="1899"/>
      <c r="N43" s="1899"/>
      <c r="O43" s="1899"/>
      <c r="P43" s="1899"/>
      <c r="Q43" s="1899"/>
      <c r="R43" s="1899"/>
      <c r="S43" s="1053"/>
      <c r="T43" s="1053"/>
    </row>
    <row r="44" spans="1:20" ht="36" customHeight="1">
      <c r="A44" s="1692" t="s">
        <v>2867</v>
      </c>
      <c r="B44" s="1692"/>
      <c r="C44" s="1692"/>
      <c r="D44" s="1692"/>
      <c r="E44" s="872">
        <f>SUM(E13,E23,E26,E28,E36,E38,E40,)</f>
        <v>1272.1499999999999</v>
      </c>
      <c r="F44" s="872">
        <f>SUM(F13,F23,F26,F28,F36,F38,F40,)</f>
        <v>1272.1499999999999</v>
      </c>
      <c r="G44" s="872">
        <f>SUM(G13,G23,G26,G28,G36,G38,G40,)</f>
        <v>1274.7249999999999</v>
      </c>
      <c r="H44" s="1083">
        <f>G44/F44</f>
        <v>1.0020241323743269</v>
      </c>
      <c r="I44" s="1899"/>
      <c r="J44" s="1899"/>
      <c r="K44" s="1899"/>
      <c r="L44" s="1899"/>
      <c r="M44" s="1899"/>
      <c r="N44" s="1899"/>
      <c r="O44" s="1899"/>
      <c r="P44" s="1899"/>
      <c r="Q44" s="1899"/>
      <c r="R44" s="1899"/>
      <c r="S44" s="1053"/>
      <c r="T44" s="1053"/>
    </row>
    <row r="45" spans="1:20" ht="31.95" customHeight="1">
      <c r="A45" s="1692" t="s">
        <v>988</v>
      </c>
      <c r="B45" s="1692"/>
      <c r="C45" s="1692"/>
      <c r="D45" s="1692"/>
      <c r="E45" s="872">
        <f>SUM(E14)</f>
        <v>24.68</v>
      </c>
      <c r="F45" s="872">
        <f>SUM(F14)</f>
        <v>24.68</v>
      </c>
      <c r="G45" s="872">
        <f>SUM(G14)</f>
        <v>24.68</v>
      </c>
      <c r="H45" s="1083">
        <f>G45/F45</f>
        <v>1</v>
      </c>
      <c r="I45" s="1899"/>
      <c r="J45" s="1899"/>
      <c r="K45" s="1899"/>
      <c r="L45" s="1899"/>
      <c r="M45" s="1899"/>
      <c r="N45" s="1899"/>
      <c r="O45" s="1899"/>
      <c r="P45" s="1899"/>
      <c r="Q45" s="1899"/>
      <c r="R45" s="1899"/>
      <c r="S45" s="1053"/>
      <c r="T45" s="1053"/>
    </row>
    <row r="46" spans="1:20" ht="20.149999999999999" hidden="1" customHeight="1">
      <c r="A46" s="657"/>
      <c r="B46" s="1897" t="s">
        <v>2597</v>
      </c>
      <c r="C46" s="1897"/>
      <c r="D46" s="1897"/>
      <c r="E46" s="863"/>
      <c r="F46" s="734"/>
      <c r="G46" s="719"/>
      <c r="H46" s="1083" t="e">
        <f t="shared" ref="H46" si="8">G46/F46-1</f>
        <v>#DIV/0!</v>
      </c>
      <c r="I46" s="1899"/>
      <c r="J46" s="1899"/>
      <c r="K46" s="1899"/>
      <c r="L46" s="1899"/>
      <c r="M46" s="1899"/>
      <c r="N46" s="1899"/>
      <c r="O46" s="1899"/>
      <c r="P46" s="1899"/>
      <c r="Q46" s="1899"/>
      <c r="R46" s="1899"/>
      <c r="S46" s="1053"/>
      <c r="T46" s="1053"/>
    </row>
    <row r="47" spans="1:20" ht="28.95" customHeight="1">
      <c r="A47" s="1692" t="s">
        <v>989</v>
      </c>
      <c r="B47" s="1692"/>
      <c r="C47" s="1692"/>
      <c r="D47" s="1692"/>
      <c r="E47" s="872">
        <v>0</v>
      </c>
      <c r="F47" s="872">
        <v>0</v>
      </c>
      <c r="G47" s="872">
        <v>0</v>
      </c>
      <c r="H47" s="1083"/>
      <c r="I47" s="1899"/>
      <c r="J47" s="1899"/>
      <c r="K47" s="1899"/>
      <c r="L47" s="1899"/>
      <c r="M47" s="1899"/>
      <c r="N47" s="1899"/>
      <c r="O47" s="1899"/>
      <c r="P47" s="1899"/>
      <c r="Q47" s="1899"/>
      <c r="R47" s="1899"/>
      <c r="S47" s="1053"/>
      <c r="T47" s="1053"/>
    </row>
    <row r="48" spans="1:20" ht="21" customHeight="1">
      <c r="A48" s="1692" t="s">
        <v>2695</v>
      </c>
      <c r="B48" s="1692"/>
      <c r="C48" s="1692"/>
      <c r="D48" s="1692"/>
      <c r="E48" s="872">
        <v>0</v>
      </c>
      <c r="F48" s="872">
        <v>0</v>
      </c>
      <c r="G48" s="872">
        <v>0</v>
      </c>
      <c r="H48" s="1083"/>
      <c r="I48" s="1899"/>
      <c r="J48" s="1899"/>
      <c r="K48" s="1899"/>
      <c r="L48" s="1899"/>
      <c r="M48" s="1899"/>
      <c r="N48" s="1899"/>
      <c r="O48" s="1899"/>
      <c r="P48" s="1899"/>
      <c r="Q48" s="1899"/>
      <c r="R48" s="1899"/>
      <c r="S48" s="1053"/>
      <c r="T48" s="1053"/>
    </row>
    <row r="49" spans="1:20" ht="24.75" customHeight="1">
      <c r="A49" s="1692" t="s">
        <v>990</v>
      </c>
      <c r="B49" s="1692"/>
      <c r="C49" s="1692"/>
      <c r="D49" s="1692"/>
      <c r="E49" s="872">
        <v>0</v>
      </c>
      <c r="F49" s="872">
        <v>0</v>
      </c>
      <c r="G49" s="872">
        <v>0</v>
      </c>
      <c r="H49" s="1083"/>
      <c r="I49" s="1899"/>
      <c r="J49" s="1899"/>
      <c r="K49" s="1899"/>
      <c r="L49" s="1899"/>
      <c r="M49" s="1899"/>
      <c r="N49" s="1899"/>
      <c r="O49" s="1899"/>
      <c r="P49" s="1899"/>
      <c r="Q49" s="1899"/>
      <c r="R49" s="1899"/>
      <c r="S49" s="1053"/>
      <c r="T49" s="1053"/>
    </row>
    <row r="50" spans="1:20" ht="20.149999999999999" hidden="1" customHeight="1">
      <c r="A50" s="1692" t="s">
        <v>991</v>
      </c>
      <c r="B50" s="1692"/>
      <c r="C50" s="1692"/>
      <c r="D50" s="1692"/>
      <c r="E50" s="872">
        <v>0</v>
      </c>
      <c r="F50" s="734"/>
      <c r="G50" s="701"/>
      <c r="H50" s="1083"/>
      <c r="I50" s="1899"/>
      <c r="J50" s="1899"/>
      <c r="K50" s="1899"/>
      <c r="L50" s="1899"/>
      <c r="M50" s="1899"/>
      <c r="N50" s="1899"/>
      <c r="O50" s="1899"/>
      <c r="P50" s="1899"/>
      <c r="Q50" s="1899"/>
      <c r="R50" s="1899"/>
      <c r="S50" s="1053"/>
      <c r="T50" s="1053"/>
    </row>
    <row r="51" spans="1:20" ht="39.65" customHeight="1">
      <c r="A51" s="1691" t="s">
        <v>992</v>
      </c>
      <c r="B51" s="1691"/>
      <c r="C51" s="1691"/>
      <c r="D51" s="1691"/>
      <c r="E51" s="1084">
        <v>0</v>
      </c>
      <c r="F51" s="1084">
        <v>0</v>
      </c>
      <c r="G51" s="1084">
        <v>0</v>
      </c>
      <c r="H51" s="1083"/>
      <c r="I51" s="1899"/>
      <c r="J51" s="1899"/>
      <c r="K51" s="1899"/>
      <c r="L51" s="1899"/>
      <c r="M51" s="1899"/>
      <c r="N51" s="1899"/>
      <c r="O51" s="1899"/>
      <c r="P51" s="1899"/>
      <c r="Q51" s="1899"/>
      <c r="R51" s="1899"/>
      <c r="S51" s="1053"/>
      <c r="T51" s="1053"/>
    </row>
    <row r="52" spans="1:20" ht="31.2" customHeight="1">
      <c r="A52" s="1691" t="s">
        <v>1334</v>
      </c>
      <c r="B52" s="1691"/>
      <c r="C52" s="1691"/>
      <c r="D52" s="1691"/>
      <c r="E52" s="1085">
        <f>E43+E51</f>
        <v>1296.83</v>
      </c>
      <c r="F52" s="1085">
        <f t="shared" ref="F52:G52" si="9">F43+F51</f>
        <v>1296.83</v>
      </c>
      <c r="G52" s="1085">
        <f t="shared" si="9"/>
        <v>1299.405</v>
      </c>
      <c r="H52" s="1083">
        <f>G52/F52</f>
        <v>1.0019856110669865</v>
      </c>
      <c r="I52" s="1899"/>
      <c r="J52" s="1899"/>
      <c r="K52" s="1899"/>
      <c r="L52" s="1899"/>
      <c r="M52" s="1899"/>
      <c r="N52" s="1899"/>
      <c r="O52" s="1899"/>
      <c r="P52" s="1899"/>
      <c r="Q52" s="1899"/>
      <c r="R52" s="1899"/>
      <c r="S52" s="1053"/>
      <c r="T52" s="1053"/>
    </row>
    <row r="53" spans="1:20" ht="31.2" hidden="1" customHeight="1">
      <c r="A53" s="1691" t="s">
        <v>1948</v>
      </c>
      <c r="B53" s="1691"/>
      <c r="C53" s="1691"/>
      <c r="D53" s="1691"/>
      <c r="E53" s="703">
        <v>0</v>
      </c>
      <c r="F53" s="703">
        <v>0</v>
      </c>
      <c r="G53" s="703">
        <v>0</v>
      </c>
      <c r="H53" s="1083"/>
      <c r="I53" s="1899"/>
      <c r="J53" s="1899"/>
      <c r="K53" s="1899"/>
      <c r="L53" s="1899"/>
      <c r="M53" s="1899"/>
      <c r="N53" s="1899"/>
      <c r="O53" s="1899"/>
      <c r="P53" s="1899"/>
      <c r="Q53" s="1899"/>
      <c r="R53" s="1899"/>
      <c r="S53" s="1053"/>
      <c r="T53" s="1053"/>
    </row>
    <row r="54" spans="1:20" s="510" customFormat="1" ht="37.200000000000003" hidden="1" customHeight="1">
      <c r="A54" s="1896" t="s">
        <v>993</v>
      </c>
      <c r="B54" s="1896"/>
      <c r="C54" s="1896"/>
      <c r="D54" s="1896"/>
      <c r="E54" s="1086">
        <v>0</v>
      </c>
      <c r="F54" s="1086">
        <v>0</v>
      </c>
      <c r="G54" s="1086">
        <v>0</v>
      </c>
      <c r="H54" s="1087">
        <v>0</v>
      </c>
      <c r="I54" s="1899"/>
      <c r="J54" s="1899"/>
      <c r="K54" s="1899"/>
      <c r="L54" s="1899"/>
      <c r="M54" s="1899"/>
      <c r="N54" s="1899"/>
      <c r="O54" s="1899"/>
      <c r="P54" s="1899"/>
      <c r="Q54" s="1899"/>
      <c r="R54" s="1899"/>
      <c r="S54" s="1088"/>
      <c r="T54" s="1088"/>
    </row>
    <row r="55" spans="1:20" ht="24" customHeight="1">
      <c r="A55" s="394"/>
      <c r="B55" s="379"/>
      <c r="C55" s="379"/>
      <c r="D55" s="379"/>
      <c r="E55" s="381"/>
      <c r="F55" s="381"/>
      <c r="G55" s="381"/>
      <c r="H55" s="381"/>
      <c r="I55" s="381"/>
      <c r="J55" s="1519"/>
      <c r="K55" s="377"/>
      <c r="L55" s="377"/>
      <c r="M55" s="377"/>
      <c r="N55" s="377"/>
      <c r="O55" s="377"/>
      <c r="P55" s="377"/>
      <c r="Q55" s="377"/>
      <c r="R55" s="377"/>
    </row>
    <row r="56" spans="1:20" ht="28.5" hidden="1" customHeight="1">
      <c r="E56" s="550">
        <v>1272.1500000000001</v>
      </c>
      <c r="F56" s="550">
        <v>1274.7249999999999</v>
      </c>
      <c r="H56" s="388"/>
    </row>
    <row r="57" spans="1:20" ht="32.25" hidden="1" customHeight="1">
      <c r="A57" s="1884"/>
      <c r="B57" s="1884"/>
      <c r="C57" s="1884"/>
      <c r="E57" s="388">
        <f>E56-F44</f>
        <v>0</v>
      </c>
      <c r="F57" s="388">
        <f>G44-F56</f>
        <v>0</v>
      </c>
      <c r="G57" s="395"/>
      <c r="H57" s="395"/>
      <c r="I57" s="395"/>
      <c r="J57" s="1521"/>
      <c r="K57" s="395"/>
    </row>
    <row r="58" spans="1:20" hidden="1">
      <c r="E58" s="371"/>
      <c r="F58" s="371"/>
      <c r="H58" s="388"/>
    </row>
    <row r="59" spans="1:20" hidden="1">
      <c r="E59" s="371"/>
      <c r="F59" s="371"/>
    </row>
    <row r="60" spans="1:20" hidden="1">
      <c r="E60" s="371"/>
      <c r="F60" s="371"/>
    </row>
    <row r="61" spans="1:20">
      <c r="E61" s="371"/>
      <c r="F61" s="371"/>
    </row>
    <row r="62" spans="1:20">
      <c r="E62" s="371"/>
      <c r="F62" s="371"/>
    </row>
    <row r="63" spans="1:20">
      <c r="E63" s="371"/>
      <c r="F63" s="371"/>
    </row>
    <row r="64" spans="1:20">
      <c r="E64" s="371"/>
      <c r="F64" s="371"/>
    </row>
    <row r="65" spans="5:6">
      <c r="E65" s="371"/>
      <c r="F65" s="371"/>
    </row>
    <row r="66" spans="5:6">
      <c r="E66" s="371"/>
      <c r="F66" s="371"/>
    </row>
    <row r="67" spans="5:6">
      <c r="E67" s="371"/>
      <c r="F67" s="371"/>
    </row>
    <row r="68" spans="5:6">
      <c r="E68" s="371"/>
      <c r="F68" s="371"/>
    </row>
    <row r="69" spans="5:6">
      <c r="E69" s="371"/>
      <c r="F69" s="371"/>
    </row>
    <row r="70" spans="5:6">
      <c r="E70" s="371"/>
      <c r="F70" s="371"/>
    </row>
    <row r="71" spans="5:6">
      <c r="E71" s="371"/>
      <c r="F71" s="371"/>
    </row>
    <row r="72" spans="5:6">
      <c r="E72" s="371"/>
      <c r="F72" s="371"/>
    </row>
    <row r="73" spans="5:6">
      <c r="E73" s="371"/>
      <c r="F73" s="371"/>
    </row>
    <row r="74" spans="5:6">
      <c r="E74" s="371"/>
      <c r="F74" s="371"/>
    </row>
    <row r="75" spans="5:6">
      <c r="E75" s="371"/>
      <c r="F75" s="371"/>
    </row>
    <row r="76" spans="5:6">
      <c r="E76" s="371"/>
      <c r="F76" s="371"/>
    </row>
    <row r="77" spans="5:6">
      <c r="E77" s="371"/>
      <c r="F77" s="371"/>
    </row>
    <row r="78" spans="5:6">
      <c r="E78" s="371"/>
      <c r="F78" s="371"/>
    </row>
    <row r="79" spans="5:6">
      <c r="E79" s="371"/>
      <c r="F79" s="371"/>
    </row>
    <row r="80" spans="5:6">
      <c r="E80" s="371"/>
      <c r="F80" s="371"/>
    </row>
    <row r="81" spans="5:6">
      <c r="E81" s="371"/>
      <c r="F81" s="371"/>
    </row>
    <row r="82" spans="5:6">
      <c r="E82" s="371"/>
      <c r="F82" s="371"/>
    </row>
    <row r="83" spans="5:6">
      <c r="E83" s="371"/>
      <c r="F83" s="371"/>
    </row>
    <row r="84" spans="5:6">
      <c r="E84" s="371"/>
      <c r="F84" s="371"/>
    </row>
    <row r="85" spans="5:6">
      <c r="E85" s="371"/>
      <c r="F85" s="371"/>
    </row>
    <row r="86" spans="5:6">
      <c r="E86" s="371"/>
      <c r="F86" s="371"/>
    </row>
    <row r="87" spans="5:6">
      <c r="E87" s="371"/>
      <c r="F87" s="371"/>
    </row>
    <row r="88" spans="5:6">
      <c r="E88" s="371"/>
      <c r="F88" s="371"/>
    </row>
    <row r="89" spans="5:6">
      <c r="E89" s="371"/>
      <c r="F89" s="371"/>
    </row>
    <row r="90" spans="5:6">
      <c r="E90" s="371"/>
      <c r="F90" s="371"/>
    </row>
    <row r="91" spans="5:6">
      <c r="E91" s="371"/>
      <c r="F91" s="371"/>
    </row>
    <row r="92" spans="5:6">
      <c r="E92" s="371"/>
      <c r="F92" s="371"/>
    </row>
    <row r="93" spans="5:6">
      <c r="E93" s="371"/>
      <c r="F93" s="371"/>
    </row>
    <row r="94" spans="5:6">
      <c r="E94" s="371"/>
      <c r="F94" s="371"/>
    </row>
    <row r="95" spans="5:6">
      <c r="E95" s="371"/>
      <c r="F95" s="371"/>
    </row>
    <row r="96" spans="5:6">
      <c r="E96" s="371"/>
      <c r="F96" s="371"/>
    </row>
    <row r="97" spans="5:6">
      <c r="E97" s="371"/>
      <c r="F97" s="371"/>
    </row>
    <row r="98" spans="5:6">
      <c r="E98" s="371"/>
      <c r="F98" s="371"/>
    </row>
    <row r="99" spans="5:6">
      <c r="E99" s="371"/>
      <c r="F99" s="371"/>
    </row>
    <row r="100" spans="5:6">
      <c r="E100" s="371"/>
      <c r="F100" s="371"/>
    </row>
    <row r="101" spans="5:6">
      <c r="E101" s="371"/>
      <c r="F101" s="371"/>
    </row>
    <row r="102" spans="5:6">
      <c r="E102" s="371"/>
      <c r="F102" s="371"/>
    </row>
    <row r="103" spans="5:6">
      <c r="E103" s="371"/>
      <c r="F103" s="371"/>
    </row>
    <row r="104" spans="5:6">
      <c r="E104" s="371"/>
      <c r="F104" s="371"/>
    </row>
    <row r="105" spans="5:6">
      <c r="E105" s="371"/>
      <c r="F105" s="371"/>
    </row>
    <row r="106" spans="5:6">
      <c r="E106" s="371"/>
      <c r="F106" s="371"/>
    </row>
    <row r="107" spans="5:6">
      <c r="E107" s="371"/>
      <c r="F107" s="371"/>
    </row>
    <row r="108" spans="5:6">
      <c r="E108" s="371"/>
      <c r="F108" s="371"/>
    </row>
    <row r="109" spans="5:6">
      <c r="E109" s="371"/>
      <c r="F109" s="371"/>
    </row>
    <row r="110" spans="5:6">
      <c r="E110" s="371"/>
      <c r="F110" s="371"/>
    </row>
    <row r="111" spans="5:6">
      <c r="E111" s="371"/>
      <c r="F111" s="371"/>
    </row>
    <row r="112" spans="5:6">
      <c r="E112" s="371"/>
      <c r="F112" s="371"/>
    </row>
    <row r="113" spans="5:6">
      <c r="E113" s="371"/>
      <c r="F113" s="371"/>
    </row>
    <row r="114" spans="5:6">
      <c r="E114" s="371"/>
      <c r="F114" s="371"/>
    </row>
    <row r="115" spans="5:6">
      <c r="E115" s="371"/>
      <c r="F115" s="371"/>
    </row>
    <row r="116" spans="5:6">
      <c r="E116" s="371"/>
      <c r="F116" s="371"/>
    </row>
    <row r="117" spans="5:6">
      <c r="E117" s="371"/>
      <c r="F117" s="371"/>
    </row>
    <row r="118" spans="5:6">
      <c r="E118" s="371"/>
      <c r="F118" s="371"/>
    </row>
    <row r="119" spans="5:6">
      <c r="E119" s="371"/>
      <c r="F119" s="371"/>
    </row>
    <row r="120" spans="5:6">
      <c r="E120" s="371"/>
      <c r="F120" s="371"/>
    </row>
    <row r="121" spans="5:6">
      <c r="E121" s="371"/>
      <c r="F121" s="371"/>
    </row>
    <row r="122" spans="5:6">
      <c r="E122" s="371"/>
      <c r="F122" s="371"/>
    </row>
    <row r="123" spans="5:6">
      <c r="E123" s="371"/>
      <c r="F123" s="371"/>
    </row>
    <row r="124" spans="5:6">
      <c r="E124" s="371"/>
      <c r="F124" s="371"/>
    </row>
    <row r="125" spans="5:6">
      <c r="E125" s="371"/>
      <c r="F125" s="371"/>
    </row>
    <row r="126" spans="5:6">
      <c r="E126" s="371"/>
      <c r="F126" s="371"/>
    </row>
    <row r="127" spans="5:6">
      <c r="E127" s="371"/>
      <c r="F127" s="371"/>
    </row>
    <row r="128" spans="5:6">
      <c r="E128" s="371"/>
      <c r="F128" s="371"/>
    </row>
    <row r="129" spans="5:6">
      <c r="E129" s="371"/>
      <c r="F129" s="371"/>
    </row>
    <row r="130" spans="5:6">
      <c r="E130" s="371"/>
      <c r="F130" s="371"/>
    </row>
    <row r="131" spans="5:6">
      <c r="E131" s="371"/>
      <c r="F131" s="371"/>
    </row>
    <row r="132" spans="5:6">
      <c r="E132" s="371"/>
      <c r="F132" s="371"/>
    </row>
    <row r="133" spans="5:6">
      <c r="E133" s="371"/>
      <c r="F133" s="371"/>
    </row>
    <row r="134" spans="5:6">
      <c r="E134" s="371"/>
      <c r="F134" s="371"/>
    </row>
    <row r="135" spans="5:6">
      <c r="E135" s="371"/>
      <c r="F135" s="371"/>
    </row>
    <row r="136" spans="5:6">
      <c r="E136" s="371"/>
      <c r="F136" s="371"/>
    </row>
    <row r="137" spans="5:6">
      <c r="E137" s="371"/>
      <c r="F137" s="371"/>
    </row>
    <row r="138" spans="5:6">
      <c r="E138" s="371"/>
      <c r="F138" s="371"/>
    </row>
    <row r="139" spans="5:6">
      <c r="E139" s="371"/>
      <c r="F139" s="371"/>
    </row>
    <row r="140" spans="5:6">
      <c r="E140" s="371"/>
      <c r="F140" s="371"/>
    </row>
    <row r="141" spans="5:6">
      <c r="E141" s="371"/>
      <c r="F141" s="371"/>
    </row>
    <row r="142" spans="5:6">
      <c r="E142" s="371"/>
      <c r="F142" s="371"/>
    </row>
    <row r="143" spans="5:6">
      <c r="E143" s="371"/>
      <c r="F143" s="371"/>
    </row>
    <row r="144" spans="5:6">
      <c r="E144" s="371"/>
      <c r="F144" s="371"/>
    </row>
    <row r="145" spans="5:6">
      <c r="E145" s="371"/>
      <c r="F145" s="371"/>
    </row>
    <row r="146" spans="5:6">
      <c r="E146" s="371"/>
      <c r="F146" s="371"/>
    </row>
    <row r="147" spans="5:6">
      <c r="E147" s="371"/>
      <c r="F147" s="371"/>
    </row>
    <row r="148" spans="5:6">
      <c r="E148" s="371"/>
      <c r="F148" s="371"/>
    </row>
    <row r="149" spans="5:6">
      <c r="E149" s="371"/>
      <c r="F149" s="371"/>
    </row>
    <row r="150" spans="5:6">
      <c r="E150" s="371"/>
      <c r="F150" s="371"/>
    </row>
    <row r="151" spans="5:6">
      <c r="E151" s="371"/>
      <c r="F151" s="371"/>
    </row>
    <row r="152" spans="5:6">
      <c r="E152" s="371"/>
      <c r="F152" s="371"/>
    </row>
    <row r="153" spans="5:6">
      <c r="E153" s="371"/>
      <c r="F153" s="371"/>
    </row>
    <row r="154" spans="5:6">
      <c r="E154" s="371"/>
      <c r="F154" s="371"/>
    </row>
    <row r="155" spans="5:6">
      <c r="E155" s="371"/>
      <c r="F155" s="371"/>
    </row>
    <row r="156" spans="5:6">
      <c r="E156" s="371"/>
      <c r="F156" s="371"/>
    </row>
    <row r="157" spans="5:6">
      <c r="E157" s="371"/>
      <c r="F157" s="371"/>
    </row>
    <row r="158" spans="5:6">
      <c r="E158" s="371"/>
      <c r="F158" s="371"/>
    </row>
    <row r="159" spans="5:6">
      <c r="E159" s="371"/>
      <c r="F159" s="371"/>
    </row>
    <row r="160" spans="5:6">
      <c r="E160" s="371"/>
      <c r="F160" s="371"/>
    </row>
    <row r="161" spans="5:6">
      <c r="E161" s="371"/>
      <c r="F161" s="371"/>
    </row>
    <row r="162" spans="5:6">
      <c r="E162" s="371"/>
      <c r="F162" s="371"/>
    </row>
    <row r="163" spans="5:6">
      <c r="E163" s="371"/>
      <c r="F163" s="371"/>
    </row>
    <row r="164" spans="5:6">
      <c r="E164" s="371"/>
      <c r="F164" s="371"/>
    </row>
    <row r="165" spans="5:6">
      <c r="E165" s="371"/>
      <c r="F165" s="371"/>
    </row>
    <row r="166" spans="5:6">
      <c r="E166" s="371"/>
      <c r="F166" s="371"/>
    </row>
    <row r="167" spans="5:6">
      <c r="E167" s="371"/>
      <c r="F167" s="371"/>
    </row>
    <row r="168" spans="5:6">
      <c r="E168" s="371"/>
      <c r="F168" s="371"/>
    </row>
    <row r="169" spans="5:6">
      <c r="E169" s="371"/>
      <c r="F169" s="371"/>
    </row>
    <row r="170" spans="5:6">
      <c r="E170" s="371"/>
      <c r="F170" s="371"/>
    </row>
    <row r="171" spans="5:6">
      <c r="E171" s="371"/>
      <c r="F171" s="371"/>
    </row>
    <row r="172" spans="5:6">
      <c r="E172" s="371"/>
      <c r="F172" s="371"/>
    </row>
    <row r="173" spans="5:6">
      <c r="E173" s="371"/>
      <c r="F173" s="371"/>
    </row>
    <row r="174" spans="5:6">
      <c r="E174" s="371"/>
      <c r="F174" s="371"/>
    </row>
    <row r="175" spans="5:6">
      <c r="E175" s="371"/>
      <c r="F175" s="371"/>
    </row>
    <row r="176" spans="5:6">
      <c r="E176" s="371"/>
      <c r="F176" s="371"/>
    </row>
    <row r="177" spans="5:6">
      <c r="E177" s="371"/>
      <c r="F177" s="371"/>
    </row>
    <row r="178" spans="5:6">
      <c r="E178" s="371"/>
      <c r="F178" s="371"/>
    </row>
    <row r="179" spans="5:6">
      <c r="E179" s="371"/>
      <c r="F179" s="371"/>
    </row>
    <row r="180" spans="5:6">
      <c r="E180" s="371"/>
      <c r="F180" s="371"/>
    </row>
    <row r="181" spans="5:6">
      <c r="E181" s="371"/>
      <c r="F181" s="371"/>
    </row>
    <row r="182" spans="5:6">
      <c r="E182" s="371"/>
      <c r="F182" s="371"/>
    </row>
    <row r="183" spans="5:6">
      <c r="E183" s="371"/>
      <c r="F183" s="371"/>
    </row>
    <row r="184" spans="5:6">
      <c r="E184" s="371"/>
      <c r="F184" s="371"/>
    </row>
    <row r="185" spans="5:6">
      <c r="E185" s="371"/>
      <c r="F185" s="371"/>
    </row>
    <row r="186" spans="5:6">
      <c r="E186" s="371"/>
      <c r="F186" s="371"/>
    </row>
    <row r="187" spans="5:6">
      <c r="E187" s="371"/>
      <c r="F187" s="371"/>
    </row>
    <row r="188" spans="5:6">
      <c r="E188" s="371"/>
      <c r="F188" s="371"/>
    </row>
    <row r="189" spans="5:6">
      <c r="E189" s="371"/>
      <c r="F189" s="371"/>
    </row>
    <row r="190" spans="5:6">
      <c r="E190" s="371"/>
      <c r="F190" s="371"/>
    </row>
    <row r="191" spans="5:6">
      <c r="E191" s="371"/>
      <c r="F191" s="371"/>
    </row>
    <row r="192" spans="5:6">
      <c r="E192" s="371"/>
      <c r="F192" s="371"/>
    </row>
    <row r="193" spans="5:6">
      <c r="E193" s="371"/>
      <c r="F193" s="371"/>
    </row>
    <row r="194" spans="5:6">
      <c r="E194" s="371"/>
      <c r="F194" s="371"/>
    </row>
    <row r="195" spans="5:6">
      <c r="E195" s="371"/>
      <c r="F195" s="371"/>
    </row>
    <row r="196" spans="5:6">
      <c r="E196" s="371"/>
      <c r="F196" s="371"/>
    </row>
    <row r="197" spans="5:6">
      <c r="E197" s="371"/>
      <c r="F197" s="371"/>
    </row>
    <row r="198" spans="5:6">
      <c r="E198" s="371"/>
      <c r="F198" s="371"/>
    </row>
    <row r="199" spans="5:6">
      <c r="E199" s="371"/>
      <c r="F199" s="371"/>
    </row>
    <row r="200" spans="5:6">
      <c r="E200" s="371"/>
      <c r="F200" s="371"/>
    </row>
    <row r="201" spans="5:6">
      <c r="E201" s="371"/>
      <c r="F201" s="371"/>
    </row>
    <row r="202" spans="5:6">
      <c r="E202" s="371"/>
      <c r="F202" s="371"/>
    </row>
    <row r="203" spans="5:6">
      <c r="E203" s="371"/>
      <c r="F203" s="371"/>
    </row>
    <row r="204" spans="5:6">
      <c r="E204" s="371"/>
      <c r="F204" s="371"/>
    </row>
    <row r="205" spans="5:6">
      <c r="E205" s="371"/>
      <c r="F205" s="371"/>
    </row>
    <row r="206" spans="5:6">
      <c r="E206" s="371"/>
      <c r="F206" s="371"/>
    </row>
    <row r="207" spans="5:6">
      <c r="E207" s="371"/>
      <c r="F207" s="371"/>
    </row>
    <row r="208" spans="5:6">
      <c r="E208" s="371"/>
      <c r="F208" s="371"/>
    </row>
    <row r="209" spans="5:6">
      <c r="E209" s="371"/>
      <c r="F209" s="371"/>
    </row>
    <row r="210" spans="5:6">
      <c r="E210" s="371"/>
      <c r="F210" s="371"/>
    </row>
    <row r="211" spans="5:6">
      <c r="E211" s="371"/>
      <c r="F211" s="371"/>
    </row>
    <row r="212" spans="5:6">
      <c r="E212" s="371"/>
      <c r="F212" s="371"/>
    </row>
    <row r="213" spans="5:6">
      <c r="E213" s="371"/>
      <c r="F213" s="371"/>
    </row>
    <row r="214" spans="5:6">
      <c r="E214" s="371"/>
      <c r="F214" s="371"/>
    </row>
    <row r="215" spans="5:6">
      <c r="E215" s="371"/>
      <c r="F215" s="371"/>
    </row>
    <row r="216" spans="5:6">
      <c r="E216" s="371"/>
      <c r="F216" s="371"/>
    </row>
    <row r="217" spans="5:6">
      <c r="E217" s="371"/>
      <c r="F217" s="371"/>
    </row>
    <row r="218" spans="5:6">
      <c r="E218" s="371"/>
      <c r="F218" s="371"/>
    </row>
    <row r="219" spans="5:6">
      <c r="E219" s="371"/>
      <c r="F219" s="371"/>
    </row>
    <row r="220" spans="5:6">
      <c r="E220" s="371"/>
      <c r="F220" s="371"/>
    </row>
    <row r="221" spans="5:6">
      <c r="E221" s="371"/>
      <c r="F221" s="371"/>
    </row>
    <row r="222" spans="5:6">
      <c r="E222" s="371"/>
      <c r="F222" s="371"/>
    </row>
    <row r="223" spans="5:6">
      <c r="E223" s="371"/>
      <c r="F223" s="371"/>
    </row>
    <row r="224" spans="5:6">
      <c r="E224" s="371"/>
      <c r="F224" s="371"/>
    </row>
    <row r="225" spans="5:6">
      <c r="E225" s="371"/>
      <c r="F225" s="371"/>
    </row>
    <row r="226" spans="5:6">
      <c r="E226" s="371"/>
      <c r="F226" s="371"/>
    </row>
    <row r="227" spans="5:6">
      <c r="E227" s="371"/>
      <c r="F227" s="371"/>
    </row>
    <row r="228" spans="5:6">
      <c r="E228" s="371"/>
      <c r="F228" s="371"/>
    </row>
    <row r="229" spans="5:6">
      <c r="E229" s="371"/>
      <c r="F229" s="371"/>
    </row>
    <row r="230" spans="5:6">
      <c r="E230" s="371"/>
      <c r="F230" s="371"/>
    </row>
    <row r="231" spans="5:6">
      <c r="E231" s="371"/>
      <c r="F231" s="371"/>
    </row>
    <row r="232" spans="5:6">
      <c r="E232" s="371"/>
      <c r="F232" s="371"/>
    </row>
    <row r="233" spans="5:6">
      <c r="E233" s="371"/>
      <c r="F233" s="371"/>
    </row>
    <row r="234" spans="5:6">
      <c r="E234" s="371"/>
      <c r="F234" s="371"/>
    </row>
    <row r="235" spans="5:6">
      <c r="E235" s="371"/>
      <c r="F235" s="371"/>
    </row>
    <row r="236" spans="5:6">
      <c r="E236" s="371"/>
      <c r="F236" s="371"/>
    </row>
    <row r="237" spans="5:6">
      <c r="E237" s="371"/>
      <c r="F237" s="371"/>
    </row>
    <row r="238" spans="5:6">
      <c r="E238" s="371"/>
      <c r="F238" s="371"/>
    </row>
    <row r="239" spans="5:6">
      <c r="E239" s="371"/>
      <c r="F239" s="371"/>
    </row>
    <row r="240" spans="5:6">
      <c r="E240" s="371"/>
      <c r="F240" s="371"/>
    </row>
    <row r="241" spans="5:6">
      <c r="E241" s="371"/>
      <c r="F241" s="371"/>
    </row>
    <row r="242" spans="5:6">
      <c r="E242" s="371"/>
      <c r="F242" s="371"/>
    </row>
    <row r="243" spans="5:6">
      <c r="E243" s="371"/>
      <c r="F243" s="371"/>
    </row>
    <row r="244" spans="5:6">
      <c r="E244" s="371"/>
      <c r="F244" s="371"/>
    </row>
    <row r="245" spans="5:6">
      <c r="E245" s="371"/>
      <c r="F245" s="371"/>
    </row>
    <row r="246" spans="5:6">
      <c r="E246" s="371"/>
      <c r="F246" s="371"/>
    </row>
    <row r="247" spans="5:6">
      <c r="E247" s="371"/>
      <c r="F247" s="371"/>
    </row>
    <row r="248" spans="5:6">
      <c r="E248" s="371"/>
      <c r="F248" s="371"/>
    </row>
    <row r="249" spans="5:6">
      <c r="E249" s="371"/>
      <c r="F249" s="371"/>
    </row>
    <row r="250" spans="5:6">
      <c r="E250" s="371"/>
      <c r="F250" s="371"/>
    </row>
    <row r="251" spans="5:6">
      <c r="E251" s="371"/>
      <c r="F251" s="371"/>
    </row>
    <row r="252" spans="5:6">
      <c r="E252" s="371"/>
      <c r="F252" s="371"/>
    </row>
    <row r="253" spans="5:6">
      <c r="E253" s="371"/>
      <c r="F253" s="371"/>
    </row>
    <row r="254" spans="5:6">
      <c r="E254" s="371"/>
      <c r="F254" s="371"/>
    </row>
    <row r="255" spans="5:6">
      <c r="E255" s="371"/>
      <c r="F255" s="371"/>
    </row>
    <row r="256" spans="5:6">
      <c r="E256" s="371"/>
      <c r="F256" s="371"/>
    </row>
    <row r="257" spans="5:6">
      <c r="E257" s="371"/>
      <c r="F257" s="371"/>
    </row>
    <row r="258" spans="5:6">
      <c r="E258" s="371"/>
      <c r="F258" s="371"/>
    </row>
    <row r="259" spans="5:6">
      <c r="E259" s="371"/>
      <c r="F259" s="371"/>
    </row>
    <row r="260" spans="5:6">
      <c r="E260" s="371"/>
      <c r="F260" s="371"/>
    </row>
    <row r="261" spans="5:6">
      <c r="E261" s="371"/>
      <c r="F261" s="371"/>
    </row>
    <row r="262" spans="5:6">
      <c r="E262" s="371"/>
      <c r="F262" s="371"/>
    </row>
    <row r="263" spans="5:6">
      <c r="E263" s="371"/>
      <c r="F263" s="371"/>
    </row>
    <row r="264" spans="5:6">
      <c r="E264" s="371"/>
      <c r="F264" s="371"/>
    </row>
    <row r="265" spans="5:6">
      <c r="E265" s="371"/>
      <c r="F265" s="371"/>
    </row>
    <row r="266" spans="5:6">
      <c r="E266" s="371"/>
      <c r="F266" s="371"/>
    </row>
    <row r="267" spans="5:6">
      <c r="E267" s="371"/>
      <c r="F267" s="371"/>
    </row>
    <row r="268" spans="5:6">
      <c r="E268" s="371"/>
      <c r="F268" s="371"/>
    </row>
    <row r="269" spans="5:6">
      <c r="E269" s="371"/>
      <c r="F269" s="371"/>
    </row>
    <row r="270" spans="5:6">
      <c r="E270" s="371"/>
      <c r="F270" s="371"/>
    </row>
    <row r="271" spans="5:6">
      <c r="E271" s="371"/>
      <c r="F271" s="371"/>
    </row>
    <row r="272" spans="5:6">
      <c r="E272" s="371"/>
      <c r="F272" s="371"/>
    </row>
    <row r="273" spans="5:6">
      <c r="E273" s="371"/>
      <c r="F273" s="371"/>
    </row>
    <row r="274" spans="5:6">
      <c r="E274" s="371"/>
      <c r="F274" s="371"/>
    </row>
    <row r="275" spans="5:6">
      <c r="E275" s="371"/>
      <c r="F275" s="371"/>
    </row>
    <row r="276" spans="5:6">
      <c r="E276" s="371"/>
      <c r="F276" s="371"/>
    </row>
    <row r="277" spans="5:6">
      <c r="E277" s="371"/>
      <c r="F277" s="371"/>
    </row>
    <row r="278" spans="5:6">
      <c r="E278" s="371"/>
      <c r="F278" s="371"/>
    </row>
    <row r="279" spans="5:6">
      <c r="E279" s="371"/>
      <c r="F279" s="371"/>
    </row>
    <row r="280" spans="5:6">
      <c r="E280" s="371"/>
      <c r="F280" s="371"/>
    </row>
    <row r="281" spans="5:6">
      <c r="E281" s="371"/>
      <c r="F281" s="371"/>
    </row>
    <row r="282" spans="5:6">
      <c r="E282" s="371"/>
      <c r="F282" s="371"/>
    </row>
    <row r="283" spans="5:6">
      <c r="E283" s="371"/>
      <c r="F283" s="371"/>
    </row>
    <row r="284" spans="5:6">
      <c r="E284" s="371"/>
      <c r="F284" s="371"/>
    </row>
    <row r="285" spans="5:6">
      <c r="E285" s="371"/>
      <c r="F285" s="371"/>
    </row>
    <row r="286" spans="5:6">
      <c r="E286" s="371"/>
      <c r="F286" s="371"/>
    </row>
    <row r="287" spans="5:6">
      <c r="E287" s="371"/>
      <c r="F287" s="371"/>
    </row>
    <row r="288" spans="5:6">
      <c r="E288" s="371"/>
      <c r="F288" s="371"/>
    </row>
    <row r="289" spans="5:6">
      <c r="E289" s="371"/>
      <c r="F289" s="371"/>
    </row>
    <row r="290" spans="5:6">
      <c r="E290" s="371"/>
      <c r="F290" s="371"/>
    </row>
    <row r="291" spans="5:6">
      <c r="E291" s="371"/>
      <c r="F291" s="371"/>
    </row>
    <row r="292" spans="5:6">
      <c r="E292" s="371"/>
      <c r="F292" s="371"/>
    </row>
    <row r="293" spans="5:6">
      <c r="E293" s="371"/>
      <c r="F293" s="371"/>
    </row>
    <row r="294" spans="5:6">
      <c r="E294" s="371"/>
      <c r="F294" s="371"/>
    </row>
    <row r="295" spans="5:6">
      <c r="E295" s="371"/>
      <c r="F295" s="371"/>
    </row>
    <row r="296" spans="5:6">
      <c r="E296" s="371"/>
      <c r="F296" s="371"/>
    </row>
    <row r="297" spans="5:6">
      <c r="E297" s="371"/>
      <c r="F297" s="371"/>
    </row>
    <row r="298" spans="5:6">
      <c r="E298" s="371"/>
      <c r="F298" s="371"/>
    </row>
    <row r="299" spans="5:6">
      <c r="E299" s="371"/>
      <c r="F299" s="371"/>
    </row>
    <row r="300" spans="5:6">
      <c r="E300" s="371"/>
      <c r="F300" s="371"/>
    </row>
    <row r="301" spans="5:6">
      <c r="E301" s="371"/>
      <c r="F301" s="371"/>
    </row>
    <row r="302" spans="5:6">
      <c r="E302" s="371"/>
      <c r="F302" s="371"/>
    </row>
    <row r="303" spans="5:6">
      <c r="E303" s="371"/>
      <c r="F303" s="371"/>
    </row>
    <row r="304" spans="5:6">
      <c r="E304" s="371"/>
      <c r="F304" s="371"/>
    </row>
    <row r="305" spans="5:6">
      <c r="E305" s="371"/>
      <c r="F305" s="371"/>
    </row>
    <row r="306" spans="5:6">
      <c r="E306" s="371"/>
      <c r="F306" s="371"/>
    </row>
    <row r="307" spans="5:6">
      <c r="E307" s="371"/>
      <c r="F307" s="371"/>
    </row>
    <row r="308" spans="5:6">
      <c r="E308" s="371"/>
      <c r="F308" s="371"/>
    </row>
    <row r="309" spans="5:6">
      <c r="E309" s="371"/>
      <c r="F309" s="371"/>
    </row>
    <row r="310" spans="5:6">
      <c r="E310" s="371"/>
      <c r="F310" s="371"/>
    </row>
    <row r="311" spans="5:6">
      <c r="E311" s="371"/>
      <c r="F311" s="371"/>
    </row>
    <row r="312" spans="5:6">
      <c r="E312" s="371"/>
      <c r="F312" s="371"/>
    </row>
    <row r="313" spans="5:6">
      <c r="E313" s="371"/>
      <c r="F313" s="371"/>
    </row>
    <row r="314" spans="5:6">
      <c r="E314" s="371"/>
      <c r="F314" s="371"/>
    </row>
    <row r="315" spans="5:6">
      <c r="E315" s="371"/>
      <c r="F315" s="371"/>
    </row>
    <row r="316" spans="5:6">
      <c r="E316" s="371"/>
      <c r="F316" s="371"/>
    </row>
    <row r="317" spans="5:6">
      <c r="E317" s="371"/>
      <c r="F317" s="371"/>
    </row>
    <row r="318" spans="5:6">
      <c r="E318" s="371"/>
      <c r="F318" s="371"/>
    </row>
    <row r="319" spans="5:6">
      <c r="E319" s="371"/>
      <c r="F319" s="371"/>
    </row>
    <row r="320" spans="5:6">
      <c r="E320" s="371"/>
      <c r="F320" s="371"/>
    </row>
    <row r="321" spans="5:6">
      <c r="E321" s="371"/>
      <c r="F321" s="371"/>
    </row>
    <row r="322" spans="5:6">
      <c r="E322" s="371"/>
      <c r="F322" s="371"/>
    </row>
    <row r="323" spans="5:6">
      <c r="E323" s="371"/>
      <c r="F323" s="371"/>
    </row>
    <row r="324" spans="5:6">
      <c r="E324" s="371"/>
      <c r="F324" s="371"/>
    </row>
    <row r="325" spans="5:6">
      <c r="E325" s="371"/>
      <c r="F325" s="371"/>
    </row>
    <row r="326" spans="5:6">
      <c r="E326" s="371"/>
      <c r="F326" s="371"/>
    </row>
    <row r="327" spans="5:6">
      <c r="E327" s="371"/>
      <c r="F327" s="371"/>
    </row>
    <row r="328" spans="5:6">
      <c r="E328" s="371"/>
      <c r="F328" s="371"/>
    </row>
    <row r="329" spans="5:6">
      <c r="E329" s="371"/>
      <c r="F329" s="371"/>
    </row>
    <row r="330" spans="5:6">
      <c r="E330" s="371"/>
      <c r="F330" s="371"/>
    </row>
    <row r="331" spans="5:6">
      <c r="E331" s="371"/>
      <c r="F331" s="371"/>
    </row>
    <row r="332" spans="5:6">
      <c r="E332" s="371"/>
      <c r="F332" s="371"/>
    </row>
    <row r="333" spans="5:6">
      <c r="E333" s="371"/>
      <c r="F333" s="371"/>
    </row>
    <row r="334" spans="5:6">
      <c r="E334" s="371"/>
      <c r="F334" s="371"/>
    </row>
    <row r="335" spans="5:6">
      <c r="E335" s="371"/>
      <c r="F335" s="371"/>
    </row>
    <row r="336" spans="5:6">
      <c r="E336" s="371"/>
      <c r="F336" s="371"/>
    </row>
    <row r="337" spans="5:6">
      <c r="E337" s="371"/>
      <c r="F337" s="371"/>
    </row>
    <row r="338" spans="5:6">
      <c r="E338" s="371"/>
      <c r="F338" s="371"/>
    </row>
    <row r="339" spans="5:6">
      <c r="E339" s="371"/>
      <c r="F339" s="371"/>
    </row>
    <row r="340" spans="5:6">
      <c r="E340" s="371"/>
      <c r="F340" s="371"/>
    </row>
    <row r="341" spans="5:6">
      <c r="E341" s="371"/>
      <c r="F341" s="371"/>
    </row>
    <row r="342" spans="5:6">
      <c r="E342" s="371"/>
      <c r="F342" s="371"/>
    </row>
    <row r="343" spans="5:6">
      <c r="E343" s="371"/>
      <c r="F343" s="371"/>
    </row>
    <row r="344" spans="5:6">
      <c r="E344" s="371"/>
      <c r="F344" s="371"/>
    </row>
    <row r="345" spans="5:6">
      <c r="E345" s="371"/>
      <c r="F345" s="371"/>
    </row>
    <row r="346" spans="5:6">
      <c r="E346" s="371"/>
      <c r="F346" s="371"/>
    </row>
    <row r="347" spans="5:6">
      <c r="E347" s="371"/>
      <c r="F347" s="371"/>
    </row>
    <row r="348" spans="5:6">
      <c r="E348" s="371"/>
      <c r="F348" s="371"/>
    </row>
    <row r="349" spans="5:6">
      <c r="E349" s="371"/>
      <c r="F349" s="371"/>
    </row>
    <row r="350" spans="5:6">
      <c r="E350" s="371"/>
      <c r="F350" s="371"/>
    </row>
    <row r="351" spans="5:6">
      <c r="E351" s="371"/>
      <c r="F351" s="371"/>
    </row>
    <row r="352" spans="5:6">
      <c r="E352" s="371"/>
      <c r="F352" s="371"/>
    </row>
    <row r="353" spans="5:6">
      <c r="E353" s="371"/>
      <c r="F353" s="371"/>
    </row>
    <row r="354" spans="5:6">
      <c r="E354" s="371"/>
      <c r="F354" s="371"/>
    </row>
    <row r="355" spans="5:6">
      <c r="E355" s="371"/>
      <c r="F355" s="371"/>
    </row>
    <row r="356" spans="5:6">
      <c r="E356" s="371"/>
      <c r="F356" s="371"/>
    </row>
    <row r="357" spans="5:6">
      <c r="E357" s="371"/>
      <c r="F357" s="371"/>
    </row>
    <row r="358" spans="5:6">
      <c r="E358" s="371"/>
      <c r="F358" s="371"/>
    </row>
    <row r="359" spans="5:6">
      <c r="E359" s="371"/>
      <c r="F359" s="371"/>
    </row>
    <row r="360" spans="5:6">
      <c r="E360" s="371"/>
      <c r="F360" s="371"/>
    </row>
    <row r="361" spans="5:6">
      <c r="E361" s="371"/>
      <c r="F361" s="371"/>
    </row>
    <row r="362" spans="5:6">
      <c r="E362" s="371"/>
      <c r="F362" s="371"/>
    </row>
    <row r="363" spans="5:6">
      <c r="E363" s="371"/>
      <c r="F363" s="371"/>
    </row>
    <row r="364" spans="5:6">
      <c r="E364" s="371"/>
      <c r="F364" s="371"/>
    </row>
    <row r="365" spans="5:6">
      <c r="E365" s="371"/>
      <c r="F365" s="371"/>
    </row>
    <row r="366" spans="5:6">
      <c r="E366" s="371"/>
      <c r="F366" s="371"/>
    </row>
    <row r="367" spans="5:6">
      <c r="E367" s="371"/>
      <c r="F367" s="371"/>
    </row>
    <row r="368" spans="5:6">
      <c r="E368" s="371"/>
      <c r="F368" s="371"/>
    </row>
    <row r="369" spans="5:6">
      <c r="E369" s="371"/>
      <c r="F369" s="371"/>
    </row>
    <row r="370" spans="5:6">
      <c r="E370" s="371"/>
      <c r="F370" s="371"/>
    </row>
    <row r="371" spans="5:6">
      <c r="E371" s="371"/>
      <c r="F371" s="371"/>
    </row>
    <row r="372" spans="5:6">
      <c r="E372" s="371"/>
      <c r="F372" s="371"/>
    </row>
    <row r="373" spans="5:6">
      <c r="E373" s="371"/>
      <c r="F373" s="371"/>
    </row>
    <row r="374" spans="5:6">
      <c r="E374" s="371"/>
      <c r="F374" s="371"/>
    </row>
    <row r="375" spans="5:6">
      <c r="E375" s="371"/>
      <c r="F375" s="371"/>
    </row>
    <row r="376" spans="5:6">
      <c r="E376" s="371"/>
      <c r="F376" s="371"/>
    </row>
    <row r="377" spans="5:6">
      <c r="E377" s="371"/>
      <c r="F377" s="371"/>
    </row>
    <row r="378" spans="5:6">
      <c r="E378" s="371"/>
      <c r="F378" s="371"/>
    </row>
    <row r="379" spans="5:6">
      <c r="E379" s="371"/>
      <c r="F379" s="371"/>
    </row>
    <row r="380" spans="5:6">
      <c r="E380" s="371"/>
      <c r="F380" s="371"/>
    </row>
    <row r="381" spans="5:6">
      <c r="E381" s="371"/>
      <c r="F381" s="371"/>
    </row>
    <row r="382" spans="5:6">
      <c r="E382" s="371"/>
      <c r="F382" s="371"/>
    </row>
    <row r="383" spans="5:6">
      <c r="E383" s="371"/>
      <c r="F383" s="371"/>
    </row>
    <row r="384" spans="5:6">
      <c r="E384" s="371"/>
      <c r="F384" s="371"/>
    </row>
    <row r="385" spans="5:6">
      <c r="E385" s="371"/>
      <c r="F385" s="371"/>
    </row>
    <row r="386" spans="5:6">
      <c r="E386" s="371"/>
      <c r="F386" s="371"/>
    </row>
    <row r="387" spans="5:6">
      <c r="E387" s="371"/>
      <c r="F387" s="371"/>
    </row>
    <row r="388" spans="5:6">
      <c r="E388" s="371"/>
      <c r="F388" s="371"/>
    </row>
    <row r="389" spans="5:6">
      <c r="E389" s="371"/>
      <c r="F389" s="371"/>
    </row>
    <row r="390" spans="5:6">
      <c r="E390" s="371"/>
      <c r="F390" s="371"/>
    </row>
    <row r="391" spans="5:6">
      <c r="E391" s="371"/>
      <c r="F391" s="371"/>
    </row>
    <row r="392" spans="5:6">
      <c r="E392" s="371"/>
      <c r="F392" s="371"/>
    </row>
    <row r="393" spans="5:6">
      <c r="E393" s="371"/>
      <c r="F393" s="371"/>
    </row>
    <row r="394" spans="5:6">
      <c r="E394" s="371"/>
      <c r="F394" s="371"/>
    </row>
    <row r="395" spans="5:6">
      <c r="E395" s="371"/>
      <c r="F395" s="371"/>
    </row>
    <row r="396" spans="5:6">
      <c r="E396" s="371"/>
      <c r="F396" s="371"/>
    </row>
    <row r="397" spans="5:6">
      <c r="E397" s="371"/>
      <c r="F397" s="371"/>
    </row>
    <row r="398" spans="5:6">
      <c r="E398" s="371"/>
      <c r="F398" s="371"/>
    </row>
    <row r="399" spans="5:6">
      <c r="E399" s="371"/>
      <c r="F399" s="371"/>
    </row>
    <row r="400" spans="5:6">
      <c r="E400" s="371"/>
      <c r="F400" s="371"/>
    </row>
    <row r="401" spans="5:6">
      <c r="E401" s="371"/>
      <c r="F401" s="371"/>
    </row>
    <row r="402" spans="5:6">
      <c r="E402" s="371"/>
      <c r="F402" s="371"/>
    </row>
    <row r="403" spans="5:6">
      <c r="E403" s="371"/>
      <c r="F403" s="371"/>
    </row>
    <row r="404" spans="5:6">
      <c r="E404" s="371"/>
      <c r="F404" s="371"/>
    </row>
    <row r="405" spans="5:6">
      <c r="E405" s="371"/>
      <c r="F405" s="371"/>
    </row>
    <row r="406" spans="5:6">
      <c r="E406" s="371"/>
      <c r="F406" s="371"/>
    </row>
    <row r="407" spans="5:6">
      <c r="E407" s="371"/>
      <c r="F407" s="371"/>
    </row>
    <row r="408" spans="5:6">
      <c r="E408" s="371"/>
      <c r="F408" s="371"/>
    </row>
    <row r="409" spans="5:6">
      <c r="E409" s="371"/>
      <c r="F409" s="371"/>
    </row>
    <row r="410" spans="5:6">
      <c r="E410" s="371"/>
      <c r="F410" s="371"/>
    </row>
    <row r="411" spans="5:6">
      <c r="E411" s="371"/>
      <c r="F411" s="371"/>
    </row>
    <row r="412" spans="5:6">
      <c r="E412" s="371"/>
      <c r="F412" s="371"/>
    </row>
    <row r="413" spans="5:6">
      <c r="E413" s="371"/>
      <c r="F413" s="371"/>
    </row>
    <row r="414" spans="5:6">
      <c r="E414" s="371"/>
      <c r="F414" s="371"/>
    </row>
    <row r="415" spans="5:6">
      <c r="E415" s="371"/>
      <c r="F415" s="371"/>
    </row>
    <row r="416" spans="5:6">
      <c r="E416" s="371"/>
      <c r="F416" s="371"/>
    </row>
    <row r="417" spans="5:6">
      <c r="E417" s="371"/>
      <c r="F417" s="371"/>
    </row>
    <row r="418" spans="5:6">
      <c r="E418" s="371"/>
      <c r="F418" s="371"/>
    </row>
    <row r="419" spans="5:6">
      <c r="E419" s="371"/>
      <c r="F419" s="371"/>
    </row>
    <row r="420" spans="5:6">
      <c r="E420" s="371"/>
      <c r="F420" s="371"/>
    </row>
    <row r="421" spans="5:6">
      <c r="E421" s="371"/>
      <c r="F421" s="371"/>
    </row>
    <row r="422" spans="5:6">
      <c r="E422" s="371"/>
      <c r="F422" s="371"/>
    </row>
    <row r="423" spans="5:6">
      <c r="E423" s="371"/>
      <c r="F423" s="371"/>
    </row>
    <row r="424" spans="5:6">
      <c r="E424" s="371"/>
      <c r="F424" s="371"/>
    </row>
    <row r="425" spans="5:6">
      <c r="E425" s="371"/>
      <c r="F425" s="371"/>
    </row>
    <row r="426" spans="5:6">
      <c r="E426" s="371"/>
      <c r="F426" s="371"/>
    </row>
    <row r="427" spans="5:6">
      <c r="E427" s="371"/>
      <c r="F427" s="371"/>
    </row>
    <row r="428" spans="5:6">
      <c r="E428" s="371"/>
      <c r="F428" s="371"/>
    </row>
    <row r="429" spans="5:6">
      <c r="E429" s="371"/>
      <c r="F429" s="371"/>
    </row>
    <row r="430" spans="5:6">
      <c r="E430" s="371"/>
      <c r="F430" s="371"/>
    </row>
    <row r="431" spans="5:6">
      <c r="E431" s="371"/>
      <c r="F431" s="371"/>
    </row>
    <row r="432" spans="5:6">
      <c r="E432" s="371"/>
      <c r="F432" s="371"/>
    </row>
    <row r="433" spans="5:6">
      <c r="E433" s="371"/>
      <c r="F433" s="371"/>
    </row>
    <row r="434" spans="5:6">
      <c r="E434" s="371"/>
      <c r="F434" s="371"/>
    </row>
    <row r="435" spans="5:6">
      <c r="E435" s="371"/>
      <c r="F435" s="371"/>
    </row>
    <row r="436" spans="5:6">
      <c r="E436" s="371"/>
      <c r="F436" s="371"/>
    </row>
    <row r="437" spans="5:6">
      <c r="E437" s="371"/>
      <c r="F437" s="371"/>
    </row>
    <row r="438" spans="5:6">
      <c r="E438" s="371"/>
      <c r="F438" s="371"/>
    </row>
    <row r="439" spans="5:6">
      <c r="E439" s="371"/>
      <c r="F439" s="371"/>
    </row>
    <row r="440" spans="5:6">
      <c r="E440" s="371"/>
      <c r="F440" s="371"/>
    </row>
    <row r="441" spans="5:6">
      <c r="E441" s="371"/>
      <c r="F441" s="371"/>
    </row>
    <row r="442" spans="5:6">
      <c r="E442" s="371"/>
      <c r="F442" s="371"/>
    </row>
    <row r="443" spans="5:6">
      <c r="E443" s="371"/>
      <c r="F443" s="371"/>
    </row>
    <row r="444" spans="5:6">
      <c r="E444" s="371"/>
      <c r="F444" s="371"/>
    </row>
    <row r="445" spans="5:6">
      <c r="E445" s="371"/>
      <c r="F445" s="371"/>
    </row>
    <row r="446" spans="5:6">
      <c r="E446" s="371"/>
      <c r="F446" s="371"/>
    </row>
    <row r="447" spans="5:6">
      <c r="E447" s="371"/>
      <c r="F447" s="371"/>
    </row>
    <row r="448" spans="5:6">
      <c r="E448" s="371"/>
      <c r="F448" s="371"/>
    </row>
    <row r="449" spans="5:6">
      <c r="E449" s="371"/>
      <c r="F449" s="371"/>
    </row>
    <row r="450" spans="5:6">
      <c r="E450" s="371"/>
      <c r="F450" s="371"/>
    </row>
    <row r="451" spans="5:6">
      <c r="E451" s="371"/>
      <c r="F451" s="371"/>
    </row>
    <row r="452" spans="5:6">
      <c r="E452" s="371"/>
      <c r="F452" s="371"/>
    </row>
    <row r="453" spans="5:6">
      <c r="E453" s="371"/>
      <c r="F453" s="371"/>
    </row>
    <row r="454" spans="5:6">
      <c r="E454" s="371"/>
      <c r="F454" s="371"/>
    </row>
    <row r="455" spans="5:6">
      <c r="E455" s="371"/>
      <c r="F455" s="371"/>
    </row>
    <row r="456" spans="5:6">
      <c r="E456" s="371"/>
      <c r="F456" s="371"/>
    </row>
    <row r="457" spans="5:6">
      <c r="E457" s="371"/>
      <c r="F457" s="371"/>
    </row>
    <row r="458" spans="5:6">
      <c r="E458" s="371"/>
      <c r="F458" s="371"/>
    </row>
    <row r="459" spans="5:6">
      <c r="E459" s="371"/>
      <c r="F459" s="371"/>
    </row>
    <row r="460" spans="5:6">
      <c r="E460" s="371"/>
      <c r="F460" s="371"/>
    </row>
    <row r="461" spans="5:6">
      <c r="E461" s="371"/>
      <c r="F461" s="371"/>
    </row>
    <row r="462" spans="5:6">
      <c r="E462" s="371"/>
      <c r="F462" s="371"/>
    </row>
    <row r="463" spans="5:6">
      <c r="E463" s="371"/>
      <c r="F463" s="371"/>
    </row>
    <row r="464" spans="5:6">
      <c r="E464" s="371"/>
      <c r="F464" s="371"/>
    </row>
    <row r="465" spans="5:6">
      <c r="E465" s="371"/>
      <c r="F465" s="371"/>
    </row>
    <row r="466" spans="5:6">
      <c r="E466" s="371"/>
      <c r="F466" s="371"/>
    </row>
    <row r="467" spans="5:6">
      <c r="E467" s="371"/>
      <c r="F467" s="371"/>
    </row>
    <row r="468" spans="5:6">
      <c r="E468" s="371"/>
      <c r="F468" s="371"/>
    </row>
    <row r="469" spans="5:6">
      <c r="E469" s="371"/>
      <c r="F469" s="371"/>
    </row>
    <row r="470" spans="5:6">
      <c r="E470" s="371"/>
      <c r="F470" s="371"/>
    </row>
    <row r="471" spans="5:6">
      <c r="E471" s="371"/>
      <c r="F471" s="371"/>
    </row>
    <row r="472" spans="5:6">
      <c r="E472" s="371"/>
      <c r="F472" s="371"/>
    </row>
    <row r="473" spans="5:6">
      <c r="E473" s="371"/>
      <c r="F473" s="371"/>
    </row>
    <row r="474" spans="5:6">
      <c r="E474" s="371"/>
      <c r="F474" s="371"/>
    </row>
    <row r="475" spans="5:6">
      <c r="E475" s="371"/>
      <c r="F475" s="371"/>
    </row>
    <row r="476" spans="5:6">
      <c r="E476" s="371"/>
      <c r="F476" s="371"/>
    </row>
    <row r="477" spans="5:6">
      <c r="E477" s="371"/>
      <c r="F477" s="371"/>
    </row>
    <row r="478" spans="5:6">
      <c r="E478" s="371"/>
      <c r="F478" s="371"/>
    </row>
    <row r="479" spans="5:6">
      <c r="E479" s="371"/>
      <c r="F479" s="371"/>
    </row>
    <row r="480" spans="5:6">
      <c r="E480" s="371"/>
      <c r="F480" s="371"/>
    </row>
    <row r="481" spans="5:6">
      <c r="E481" s="371"/>
      <c r="F481" s="371"/>
    </row>
    <row r="482" spans="5:6">
      <c r="E482" s="371"/>
      <c r="F482" s="371"/>
    </row>
    <row r="483" spans="5:6">
      <c r="E483" s="371"/>
      <c r="F483" s="371"/>
    </row>
    <row r="484" spans="5:6">
      <c r="E484" s="371"/>
      <c r="F484" s="371"/>
    </row>
    <row r="485" spans="5:6">
      <c r="E485" s="371"/>
      <c r="F485" s="371"/>
    </row>
    <row r="486" spans="5:6">
      <c r="E486" s="371"/>
      <c r="F486" s="371"/>
    </row>
    <row r="487" spans="5:6">
      <c r="E487" s="371"/>
      <c r="F487" s="371"/>
    </row>
    <row r="488" spans="5:6">
      <c r="E488" s="371"/>
      <c r="F488" s="371"/>
    </row>
    <row r="489" spans="5:6">
      <c r="E489" s="371"/>
      <c r="F489" s="371"/>
    </row>
    <row r="490" spans="5:6">
      <c r="E490" s="371"/>
      <c r="F490" s="371"/>
    </row>
    <row r="491" spans="5:6">
      <c r="E491" s="371"/>
      <c r="F491" s="371"/>
    </row>
    <row r="492" spans="5:6">
      <c r="E492" s="371"/>
      <c r="F492" s="371"/>
    </row>
    <row r="493" spans="5:6">
      <c r="E493" s="371"/>
      <c r="F493" s="371"/>
    </row>
    <row r="494" spans="5:6">
      <c r="E494" s="371"/>
      <c r="F494" s="371"/>
    </row>
    <row r="495" spans="5:6">
      <c r="E495" s="371"/>
      <c r="F495" s="371"/>
    </row>
    <row r="496" spans="5:6">
      <c r="E496" s="371"/>
      <c r="F496" s="371"/>
    </row>
    <row r="497" spans="5:6">
      <c r="E497" s="371"/>
      <c r="F497" s="371"/>
    </row>
    <row r="498" spans="5:6">
      <c r="E498" s="371"/>
      <c r="F498" s="371"/>
    </row>
    <row r="499" spans="5:6">
      <c r="E499" s="371"/>
      <c r="F499" s="371"/>
    </row>
    <row r="500" spans="5:6">
      <c r="E500" s="371"/>
      <c r="F500" s="371"/>
    </row>
    <row r="501" spans="5:6">
      <c r="E501" s="371"/>
      <c r="F501" s="371"/>
    </row>
    <row r="502" spans="5:6">
      <c r="E502" s="371"/>
      <c r="F502" s="371"/>
    </row>
    <row r="503" spans="5:6">
      <c r="E503" s="371"/>
      <c r="F503" s="371"/>
    </row>
    <row r="504" spans="5:6">
      <c r="E504" s="371"/>
      <c r="F504" s="371"/>
    </row>
    <row r="505" spans="5:6">
      <c r="E505" s="371"/>
      <c r="F505" s="371"/>
    </row>
    <row r="506" spans="5:6">
      <c r="E506" s="371"/>
      <c r="F506" s="371"/>
    </row>
    <row r="507" spans="5:6">
      <c r="E507" s="371"/>
      <c r="F507" s="371"/>
    </row>
    <row r="508" spans="5:6">
      <c r="E508" s="371"/>
      <c r="F508" s="371"/>
    </row>
    <row r="509" spans="5:6">
      <c r="E509" s="371"/>
      <c r="F509" s="371"/>
    </row>
    <row r="510" spans="5:6">
      <c r="E510" s="371"/>
      <c r="F510" s="371"/>
    </row>
    <row r="511" spans="5:6">
      <c r="E511" s="371"/>
      <c r="F511" s="371"/>
    </row>
    <row r="512" spans="5:6">
      <c r="E512" s="371"/>
      <c r="F512" s="371"/>
    </row>
    <row r="513" spans="5:6">
      <c r="E513" s="371"/>
      <c r="F513" s="371"/>
    </row>
    <row r="514" spans="5:6">
      <c r="E514" s="371"/>
      <c r="F514" s="371"/>
    </row>
    <row r="515" spans="5:6">
      <c r="E515" s="371"/>
      <c r="F515" s="371"/>
    </row>
    <row r="516" spans="5:6">
      <c r="E516" s="371"/>
      <c r="F516" s="371"/>
    </row>
    <row r="517" spans="5:6">
      <c r="E517" s="371"/>
      <c r="F517" s="371"/>
    </row>
    <row r="518" spans="5:6">
      <c r="E518" s="371"/>
      <c r="F518" s="371"/>
    </row>
    <row r="519" spans="5:6">
      <c r="E519" s="371"/>
      <c r="F519" s="371"/>
    </row>
    <row r="520" spans="5:6">
      <c r="E520" s="371"/>
      <c r="F520" s="371"/>
    </row>
    <row r="521" spans="5:6">
      <c r="E521" s="371"/>
      <c r="F521" s="371"/>
    </row>
    <row r="522" spans="5:6">
      <c r="E522" s="371"/>
      <c r="F522" s="371"/>
    </row>
    <row r="523" spans="5:6">
      <c r="E523" s="371"/>
      <c r="F523" s="371"/>
    </row>
    <row r="524" spans="5:6">
      <c r="E524" s="371"/>
      <c r="F524" s="371"/>
    </row>
    <row r="525" spans="5:6">
      <c r="E525" s="371"/>
      <c r="F525" s="371"/>
    </row>
    <row r="526" spans="5:6">
      <c r="E526" s="371"/>
      <c r="F526" s="371"/>
    </row>
    <row r="527" spans="5:6">
      <c r="E527" s="371"/>
      <c r="F527" s="371"/>
    </row>
    <row r="528" spans="5:6">
      <c r="E528" s="371"/>
      <c r="F528" s="371"/>
    </row>
    <row r="529" spans="5:6">
      <c r="E529" s="371"/>
      <c r="F529" s="371"/>
    </row>
    <row r="530" spans="5:6">
      <c r="E530" s="371"/>
      <c r="F530" s="371"/>
    </row>
    <row r="531" spans="5:6">
      <c r="E531" s="371"/>
      <c r="F531" s="371"/>
    </row>
    <row r="532" spans="5:6">
      <c r="E532" s="371"/>
      <c r="F532" s="371"/>
    </row>
    <row r="533" spans="5:6">
      <c r="E533" s="371"/>
      <c r="F533" s="371"/>
    </row>
    <row r="534" spans="5:6">
      <c r="E534" s="371"/>
      <c r="F534" s="371"/>
    </row>
    <row r="535" spans="5:6">
      <c r="E535" s="371"/>
      <c r="F535" s="371"/>
    </row>
    <row r="536" spans="5:6">
      <c r="E536" s="371"/>
      <c r="F536" s="371"/>
    </row>
    <row r="537" spans="5:6">
      <c r="E537" s="371"/>
      <c r="F537" s="371"/>
    </row>
    <row r="538" spans="5:6">
      <c r="E538" s="371"/>
      <c r="F538" s="371"/>
    </row>
    <row r="539" spans="5:6">
      <c r="E539" s="371"/>
      <c r="F539" s="371"/>
    </row>
    <row r="540" spans="5:6">
      <c r="E540" s="371"/>
      <c r="F540" s="371"/>
    </row>
    <row r="541" spans="5:6">
      <c r="E541" s="371"/>
      <c r="F541" s="371"/>
    </row>
    <row r="542" spans="5:6">
      <c r="E542" s="371"/>
      <c r="F542" s="371"/>
    </row>
    <row r="543" spans="5:6">
      <c r="E543" s="371"/>
      <c r="F543" s="371"/>
    </row>
    <row r="544" spans="5:6">
      <c r="E544" s="371"/>
      <c r="F544" s="371"/>
    </row>
    <row r="545" spans="5:6">
      <c r="E545" s="371"/>
      <c r="F545" s="371"/>
    </row>
    <row r="546" spans="5:6">
      <c r="E546" s="371"/>
      <c r="F546" s="371"/>
    </row>
    <row r="547" spans="5:6">
      <c r="E547" s="371"/>
      <c r="F547" s="371"/>
    </row>
    <row r="548" spans="5:6">
      <c r="E548" s="371"/>
      <c r="F548" s="371"/>
    </row>
    <row r="549" spans="5:6">
      <c r="E549" s="371"/>
      <c r="F549" s="371"/>
    </row>
    <row r="550" spans="5:6">
      <c r="E550" s="371"/>
      <c r="F550" s="371"/>
    </row>
    <row r="551" spans="5:6">
      <c r="E551" s="371"/>
      <c r="F551" s="371"/>
    </row>
    <row r="552" spans="5:6">
      <c r="E552" s="371"/>
      <c r="F552" s="371"/>
    </row>
    <row r="553" spans="5:6">
      <c r="E553" s="371"/>
      <c r="F553" s="371"/>
    </row>
    <row r="554" spans="5:6">
      <c r="E554" s="371"/>
      <c r="F554" s="371"/>
    </row>
    <row r="555" spans="5:6">
      <c r="E555" s="371"/>
      <c r="F555" s="371"/>
    </row>
    <row r="556" spans="5:6">
      <c r="E556" s="371"/>
      <c r="F556" s="371"/>
    </row>
    <row r="557" spans="5:6">
      <c r="E557" s="371"/>
      <c r="F557" s="371"/>
    </row>
    <row r="558" spans="5:6">
      <c r="E558" s="371"/>
      <c r="F558" s="371"/>
    </row>
    <row r="559" spans="5:6">
      <c r="E559" s="371"/>
      <c r="F559" s="371"/>
    </row>
    <row r="560" spans="5:6">
      <c r="E560" s="371"/>
      <c r="F560" s="371"/>
    </row>
    <row r="561" spans="5:6">
      <c r="E561" s="371"/>
      <c r="F561" s="371"/>
    </row>
    <row r="562" spans="5:6">
      <c r="E562" s="371"/>
      <c r="F562" s="371"/>
    </row>
    <row r="563" spans="5:6">
      <c r="E563" s="371"/>
      <c r="F563" s="371"/>
    </row>
    <row r="564" spans="5:6">
      <c r="E564" s="371"/>
      <c r="F564" s="371"/>
    </row>
    <row r="565" spans="5:6">
      <c r="E565" s="371"/>
      <c r="F565" s="371"/>
    </row>
    <row r="566" spans="5:6">
      <c r="E566" s="371"/>
      <c r="F566" s="371"/>
    </row>
    <row r="567" spans="5:6">
      <c r="E567" s="371"/>
      <c r="F567" s="371"/>
    </row>
    <row r="568" spans="5:6">
      <c r="E568" s="371"/>
      <c r="F568" s="371"/>
    </row>
    <row r="569" spans="5:6">
      <c r="E569" s="371"/>
      <c r="F569" s="371"/>
    </row>
    <row r="570" spans="5:6">
      <c r="E570" s="371"/>
      <c r="F570" s="371"/>
    </row>
    <row r="571" spans="5:6">
      <c r="E571" s="371"/>
      <c r="F571" s="371"/>
    </row>
    <row r="572" spans="5:6">
      <c r="E572" s="371"/>
      <c r="F572" s="371"/>
    </row>
    <row r="573" spans="5:6">
      <c r="E573" s="371"/>
      <c r="F573" s="371"/>
    </row>
    <row r="574" spans="5:6">
      <c r="E574" s="371"/>
      <c r="F574" s="371"/>
    </row>
    <row r="575" spans="5:6">
      <c r="E575" s="371"/>
      <c r="F575" s="371"/>
    </row>
    <row r="576" spans="5:6">
      <c r="E576" s="371"/>
      <c r="F576" s="371"/>
    </row>
    <row r="577" spans="5:6">
      <c r="E577" s="371"/>
      <c r="F577" s="371"/>
    </row>
    <row r="578" spans="5:6">
      <c r="E578" s="371"/>
      <c r="F578" s="371"/>
    </row>
    <row r="579" spans="5:6">
      <c r="E579" s="371"/>
      <c r="F579" s="371"/>
    </row>
    <row r="580" spans="5:6">
      <c r="E580" s="371"/>
      <c r="F580" s="371"/>
    </row>
    <row r="581" spans="5:6">
      <c r="E581" s="371"/>
      <c r="F581" s="371"/>
    </row>
    <row r="582" spans="5:6">
      <c r="E582" s="371"/>
      <c r="F582" s="371"/>
    </row>
    <row r="583" spans="5:6">
      <c r="E583" s="371"/>
      <c r="F583" s="371"/>
    </row>
    <row r="584" spans="5:6">
      <c r="E584" s="371"/>
      <c r="F584" s="371"/>
    </row>
    <row r="585" spans="5:6">
      <c r="E585" s="371"/>
      <c r="F585" s="371"/>
    </row>
    <row r="586" spans="5:6">
      <c r="E586" s="371"/>
      <c r="F586" s="371"/>
    </row>
    <row r="587" spans="5:6">
      <c r="E587" s="371"/>
      <c r="F587" s="371"/>
    </row>
    <row r="588" spans="5:6">
      <c r="E588" s="371"/>
      <c r="F588" s="371"/>
    </row>
    <row r="589" spans="5:6">
      <c r="E589" s="371"/>
      <c r="F589" s="371"/>
    </row>
    <row r="590" spans="5:6">
      <c r="E590" s="371"/>
      <c r="F590" s="371"/>
    </row>
    <row r="591" spans="5:6">
      <c r="E591" s="371"/>
      <c r="F591" s="371"/>
    </row>
    <row r="592" spans="5:6">
      <c r="E592" s="371"/>
      <c r="F592" s="371"/>
    </row>
    <row r="593" spans="5:6">
      <c r="E593" s="371"/>
      <c r="F593" s="371"/>
    </row>
    <row r="594" spans="5:6">
      <c r="E594" s="371"/>
      <c r="F594" s="371"/>
    </row>
    <row r="595" spans="5:6">
      <c r="E595" s="371"/>
      <c r="F595" s="371"/>
    </row>
    <row r="596" spans="5:6">
      <c r="E596" s="371"/>
      <c r="F596" s="371"/>
    </row>
    <row r="597" spans="5:6">
      <c r="E597" s="371"/>
      <c r="F597" s="371"/>
    </row>
    <row r="598" spans="5:6">
      <c r="E598" s="371"/>
      <c r="F598" s="371"/>
    </row>
    <row r="599" spans="5:6">
      <c r="E599" s="371"/>
      <c r="F599" s="371"/>
    </row>
    <row r="600" spans="5:6">
      <c r="E600" s="371"/>
      <c r="F600" s="371"/>
    </row>
    <row r="601" spans="5:6">
      <c r="E601" s="371"/>
      <c r="F601" s="371"/>
    </row>
    <row r="602" spans="5:6">
      <c r="E602" s="371"/>
      <c r="F602" s="371"/>
    </row>
    <row r="603" spans="5:6">
      <c r="E603" s="371"/>
      <c r="F603" s="371"/>
    </row>
    <row r="604" spans="5:6">
      <c r="E604" s="371"/>
      <c r="F604" s="371"/>
    </row>
    <row r="605" spans="5:6">
      <c r="E605" s="371"/>
      <c r="F605" s="371"/>
    </row>
    <row r="606" spans="5:6">
      <c r="E606" s="371"/>
      <c r="F606" s="371"/>
    </row>
    <row r="607" spans="5:6">
      <c r="E607" s="371"/>
      <c r="F607" s="371"/>
    </row>
    <row r="608" spans="5:6">
      <c r="E608" s="371"/>
      <c r="F608" s="371"/>
    </row>
    <row r="609" spans="5:6">
      <c r="E609" s="371"/>
      <c r="F609" s="371"/>
    </row>
    <row r="610" spans="5:6">
      <c r="E610" s="371"/>
      <c r="F610" s="371"/>
    </row>
    <row r="611" spans="5:6">
      <c r="E611" s="371"/>
      <c r="F611" s="371"/>
    </row>
    <row r="612" spans="5:6">
      <c r="E612" s="371"/>
      <c r="F612" s="371"/>
    </row>
    <row r="613" spans="5:6">
      <c r="E613" s="371"/>
      <c r="F613" s="371"/>
    </row>
    <row r="614" spans="5:6">
      <c r="E614" s="371"/>
      <c r="F614" s="371"/>
    </row>
    <row r="615" spans="5:6">
      <c r="E615" s="371"/>
      <c r="F615" s="371"/>
    </row>
    <row r="616" spans="5:6">
      <c r="E616" s="371"/>
      <c r="F616" s="371"/>
    </row>
    <row r="617" spans="5:6">
      <c r="E617" s="371"/>
      <c r="F617" s="371"/>
    </row>
    <row r="618" spans="5:6">
      <c r="E618" s="371"/>
      <c r="F618" s="371"/>
    </row>
    <row r="619" spans="5:6">
      <c r="E619" s="371"/>
      <c r="F619" s="371"/>
    </row>
    <row r="620" spans="5:6">
      <c r="E620" s="371"/>
      <c r="F620" s="371"/>
    </row>
    <row r="621" spans="5:6">
      <c r="E621" s="371"/>
      <c r="F621" s="371"/>
    </row>
    <row r="622" spans="5:6">
      <c r="E622" s="371"/>
      <c r="F622" s="371"/>
    </row>
    <row r="623" spans="5:6">
      <c r="E623" s="371"/>
      <c r="F623" s="371"/>
    </row>
    <row r="624" spans="5:6">
      <c r="E624" s="371"/>
      <c r="F624" s="371"/>
    </row>
    <row r="625" spans="5:6">
      <c r="E625" s="371"/>
      <c r="F625" s="371"/>
    </row>
    <row r="626" spans="5:6">
      <c r="E626" s="371"/>
      <c r="F626" s="371"/>
    </row>
    <row r="627" spans="5:6">
      <c r="E627" s="371"/>
      <c r="F627" s="371"/>
    </row>
    <row r="628" spans="5:6">
      <c r="E628" s="371"/>
      <c r="F628" s="371"/>
    </row>
    <row r="629" spans="5:6">
      <c r="E629" s="371"/>
      <c r="F629" s="371"/>
    </row>
    <row r="630" spans="5:6">
      <c r="E630" s="371"/>
      <c r="F630" s="371"/>
    </row>
    <row r="631" spans="5:6">
      <c r="E631" s="371"/>
      <c r="F631" s="371"/>
    </row>
    <row r="632" spans="5:6">
      <c r="E632" s="371"/>
      <c r="F632" s="371"/>
    </row>
    <row r="633" spans="5:6">
      <c r="E633" s="371"/>
      <c r="F633" s="371"/>
    </row>
    <row r="634" spans="5:6">
      <c r="E634" s="371"/>
      <c r="F634" s="371"/>
    </row>
    <row r="635" spans="5:6">
      <c r="E635" s="371"/>
      <c r="F635" s="371"/>
    </row>
    <row r="636" spans="5:6">
      <c r="E636" s="371"/>
      <c r="F636" s="371"/>
    </row>
    <row r="637" spans="5:6">
      <c r="E637" s="371"/>
      <c r="F637" s="371"/>
    </row>
    <row r="638" spans="5:6">
      <c r="E638" s="371"/>
      <c r="F638" s="371"/>
    </row>
    <row r="639" spans="5:6">
      <c r="E639" s="371"/>
      <c r="F639" s="371"/>
    </row>
    <row r="640" spans="5:6">
      <c r="E640" s="371"/>
      <c r="F640" s="371"/>
    </row>
    <row r="641" spans="5:6">
      <c r="E641" s="371"/>
      <c r="F641" s="371"/>
    </row>
    <row r="642" spans="5:6">
      <c r="E642" s="371"/>
      <c r="F642" s="371"/>
    </row>
    <row r="643" spans="5:6">
      <c r="E643" s="371"/>
      <c r="F643" s="371"/>
    </row>
    <row r="644" spans="5:6">
      <c r="E644" s="371"/>
      <c r="F644" s="371"/>
    </row>
    <row r="645" spans="5:6">
      <c r="E645" s="371"/>
      <c r="F645" s="371"/>
    </row>
    <row r="646" spans="5:6">
      <c r="E646" s="371"/>
      <c r="F646" s="371"/>
    </row>
    <row r="647" spans="5:6">
      <c r="E647" s="371"/>
      <c r="F647" s="371"/>
    </row>
    <row r="648" spans="5:6">
      <c r="E648" s="371"/>
      <c r="F648" s="371"/>
    </row>
    <row r="649" spans="5:6">
      <c r="E649" s="371"/>
      <c r="F649" s="371"/>
    </row>
    <row r="650" spans="5:6">
      <c r="E650" s="371"/>
      <c r="F650" s="371"/>
    </row>
    <row r="651" spans="5:6">
      <c r="E651" s="371"/>
      <c r="F651" s="371"/>
    </row>
    <row r="652" spans="5:6">
      <c r="E652" s="371"/>
      <c r="F652" s="371"/>
    </row>
    <row r="653" spans="5:6">
      <c r="E653" s="371"/>
      <c r="F653" s="371"/>
    </row>
    <row r="654" spans="5:6">
      <c r="E654" s="371"/>
      <c r="F654" s="371"/>
    </row>
    <row r="655" spans="5:6">
      <c r="E655" s="371"/>
      <c r="F655" s="371"/>
    </row>
    <row r="656" spans="5:6">
      <c r="E656" s="371"/>
      <c r="F656" s="371"/>
    </row>
    <row r="657" spans="5:6">
      <c r="E657" s="371"/>
      <c r="F657" s="371"/>
    </row>
    <row r="658" spans="5:6">
      <c r="E658" s="371"/>
      <c r="F658" s="371"/>
    </row>
    <row r="659" spans="5:6">
      <c r="E659" s="371"/>
      <c r="F659" s="371"/>
    </row>
    <row r="660" spans="5:6">
      <c r="E660" s="371"/>
      <c r="F660" s="371"/>
    </row>
    <row r="661" spans="5:6">
      <c r="E661" s="371"/>
      <c r="F661" s="371"/>
    </row>
    <row r="662" spans="5:6">
      <c r="E662" s="371"/>
      <c r="F662" s="371"/>
    </row>
    <row r="663" spans="5:6">
      <c r="E663" s="371"/>
      <c r="F663" s="371"/>
    </row>
    <row r="664" spans="5:6">
      <c r="E664" s="371"/>
      <c r="F664" s="371"/>
    </row>
    <row r="665" spans="5:6">
      <c r="E665" s="371"/>
      <c r="F665" s="371"/>
    </row>
    <row r="666" spans="5:6">
      <c r="E666" s="371"/>
      <c r="F666" s="371"/>
    </row>
    <row r="667" spans="5:6">
      <c r="E667" s="371"/>
      <c r="F667" s="371"/>
    </row>
    <row r="668" spans="5:6">
      <c r="E668" s="371"/>
      <c r="F668" s="371"/>
    </row>
    <row r="669" spans="5:6">
      <c r="E669" s="371"/>
      <c r="F669" s="371"/>
    </row>
    <row r="670" spans="5:6">
      <c r="E670" s="371"/>
      <c r="F670" s="371"/>
    </row>
    <row r="671" spans="5:6">
      <c r="E671" s="371"/>
      <c r="F671" s="371"/>
    </row>
    <row r="672" spans="5:6">
      <c r="E672" s="371"/>
      <c r="F672" s="371"/>
    </row>
    <row r="673" spans="5:6">
      <c r="E673" s="371"/>
      <c r="F673" s="371"/>
    </row>
    <row r="674" spans="5:6">
      <c r="E674" s="371"/>
      <c r="F674" s="371"/>
    </row>
    <row r="675" spans="5:6">
      <c r="E675" s="371"/>
      <c r="F675" s="371"/>
    </row>
    <row r="676" spans="5:6">
      <c r="E676" s="371"/>
      <c r="F676" s="371"/>
    </row>
    <row r="677" spans="5:6">
      <c r="E677" s="371"/>
      <c r="F677" s="371"/>
    </row>
    <row r="678" spans="5:6">
      <c r="E678" s="371"/>
      <c r="F678" s="371"/>
    </row>
    <row r="679" spans="5:6">
      <c r="E679" s="371"/>
      <c r="F679" s="371"/>
    </row>
    <row r="680" spans="5:6">
      <c r="E680" s="371"/>
      <c r="F680" s="371"/>
    </row>
    <row r="681" spans="5:6">
      <c r="E681" s="371"/>
      <c r="F681" s="371"/>
    </row>
    <row r="682" spans="5:6">
      <c r="E682" s="371"/>
      <c r="F682" s="371"/>
    </row>
    <row r="683" spans="5:6">
      <c r="E683" s="371"/>
      <c r="F683" s="371"/>
    </row>
    <row r="684" spans="5:6">
      <c r="E684" s="371"/>
      <c r="F684" s="371"/>
    </row>
    <row r="685" spans="5:6">
      <c r="E685" s="371"/>
      <c r="F685" s="371"/>
    </row>
    <row r="686" spans="5:6">
      <c r="E686" s="371"/>
      <c r="F686" s="371"/>
    </row>
    <row r="687" spans="5:6">
      <c r="E687" s="371"/>
      <c r="F687" s="371"/>
    </row>
    <row r="688" spans="5:6">
      <c r="E688" s="371"/>
      <c r="F688" s="371"/>
    </row>
    <row r="689" spans="5:6">
      <c r="E689" s="371"/>
      <c r="F689" s="371"/>
    </row>
    <row r="690" spans="5:6">
      <c r="E690" s="371"/>
      <c r="F690" s="371"/>
    </row>
    <row r="691" spans="5:6">
      <c r="E691" s="371"/>
      <c r="F691" s="371"/>
    </row>
    <row r="692" spans="5:6">
      <c r="E692" s="371"/>
      <c r="F692" s="371"/>
    </row>
    <row r="693" spans="5:6">
      <c r="E693" s="371"/>
      <c r="F693" s="371"/>
    </row>
    <row r="694" spans="5:6">
      <c r="E694" s="371"/>
      <c r="F694" s="371"/>
    </row>
    <row r="695" spans="5:6">
      <c r="E695" s="371"/>
      <c r="F695" s="371"/>
    </row>
    <row r="696" spans="5:6">
      <c r="E696" s="371"/>
      <c r="F696" s="371"/>
    </row>
    <row r="697" spans="5:6">
      <c r="E697" s="371"/>
      <c r="F697" s="371"/>
    </row>
    <row r="698" spans="5:6">
      <c r="E698" s="371"/>
      <c r="F698" s="371"/>
    </row>
    <row r="699" spans="5:6">
      <c r="E699" s="371"/>
      <c r="F699" s="371"/>
    </row>
    <row r="700" spans="5:6">
      <c r="E700" s="371"/>
      <c r="F700" s="371"/>
    </row>
    <row r="701" spans="5:6">
      <c r="E701" s="371"/>
      <c r="F701" s="371"/>
    </row>
    <row r="702" spans="5:6">
      <c r="E702" s="371"/>
      <c r="F702" s="371"/>
    </row>
    <row r="703" spans="5:6">
      <c r="E703" s="371"/>
      <c r="F703" s="371"/>
    </row>
    <row r="704" spans="5:6">
      <c r="E704" s="371"/>
      <c r="F704" s="371"/>
    </row>
    <row r="705" spans="5:6">
      <c r="E705" s="371"/>
      <c r="F705" s="371"/>
    </row>
    <row r="706" spans="5:6">
      <c r="E706" s="371"/>
      <c r="F706" s="371"/>
    </row>
    <row r="707" spans="5:6">
      <c r="E707" s="371"/>
      <c r="F707" s="371"/>
    </row>
    <row r="708" spans="5:6">
      <c r="E708" s="371"/>
      <c r="F708" s="371"/>
    </row>
    <row r="709" spans="5:6">
      <c r="E709" s="371"/>
      <c r="F709" s="371"/>
    </row>
    <row r="710" spans="5:6">
      <c r="E710" s="371"/>
      <c r="F710" s="371"/>
    </row>
    <row r="711" spans="5:6">
      <c r="E711" s="371"/>
      <c r="F711" s="371"/>
    </row>
    <row r="712" spans="5:6">
      <c r="E712" s="371"/>
      <c r="F712" s="371"/>
    </row>
    <row r="713" spans="5:6">
      <c r="E713" s="371"/>
      <c r="F713" s="371"/>
    </row>
    <row r="714" spans="5:6">
      <c r="E714" s="371"/>
      <c r="F714" s="371"/>
    </row>
    <row r="715" spans="5:6">
      <c r="E715" s="371"/>
      <c r="F715" s="371"/>
    </row>
    <row r="716" spans="5:6">
      <c r="E716" s="371"/>
      <c r="F716" s="371"/>
    </row>
    <row r="717" spans="5:6">
      <c r="E717" s="371"/>
      <c r="F717" s="371"/>
    </row>
    <row r="718" spans="5:6">
      <c r="E718" s="371"/>
      <c r="F718" s="371"/>
    </row>
    <row r="719" spans="5:6">
      <c r="E719" s="371"/>
      <c r="F719" s="371"/>
    </row>
    <row r="720" spans="5:6">
      <c r="E720" s="371"/>
      <c r="F720" s="371"/>
    </row>
    <row r="721" spans="5:6">
      <c r="E721" s="371"/>
      <c r="F721" s="371"/>
    </row>
    <row r="722" spans="5:6">
      <c r="E722" s="371"/>
      <c r="F722" s="371"/>
    </row>
    <row r="723" spans="5:6">
      <c r="E723" s="371"/>
      <c r="F723" s="371"/>
    </row>
    <row r="724" spans="5:6">
      <c r="E724" s="371"/>
      <c r="F724" s="371"/>
    </row>
    <row r="725" spans="5:6">
      <c r="E725" s="371"/>
      <c r="F725" s="371"/>
    </row>
    <row r="726" spans="5:6">
      <c r="E726" s="371"/>
      <c r="F726" s="371"/>
    </row>
    <row r="727" spans="5:6">
      <c r="E727" s="371"/>
      <c r="F727" s="371"/>
    </row>
    <row r="728" spans="5:6">
      <c r="E728" s="371"/>
      <c r="F728" s="371"/>
    </row>
    <row r="729" spans="5:6">
      <c r="E729" s="371"/>
      <c r="F729" s="371"/>
    </row>
    <row r="730" spans="5:6">
      <c r="E730" s="371"/>
      <c r="F730" s="371"/>
    </row>
    <row r="731" spans="5:6">
      <c r="E731" s="371"/>
      <c r="F731" s="371"/>
    </row>
    <row r="732" spans="5:6">
      <c r="E732" s="371"/>
      <c r="F732" s="371"/>
    </row>
    <row r="733" spans="5:6">
      <c r="E733" s="371"/>
      <c r="F733" s="371"/>
    </row>
    <row r="734" spans="5:6">
      <c r="E734" s="371"/>
      <c r="F734" s="371"/>
    </row>
    <row r="735" spans="5:6">
      <c r="E735" s="371"/>
      <c r="F735" s="371"/>
    </row>
    <row r="736" spans="5:6">
      <c r="E736" s="371"/>
      <c r="F736" s="371"/>
    </row>
    <row r="737" spans="5:6">
      <c r="E737" s="371"/>
      <c r="F737" s="371"/>
    </row>
    <row r="738" spans="5:6">
      <c r="E738" s="371"/>
      <c r="F738" s="371"/>
    </row>
    <row r="739" spans="5:6">
      <c r="E739" s="371"/>
      <c r="F739" s="371"/>
    </row>
    <row r="740" spans="5:6">
      <c r="E740" s="371"/>
      <c r="F740" s="371"/>
    </row>
    <row r="741" spans="5:6">
      <c r="E741" s="371"/>
      <c r="F741" s="371"/>
    </row>
    <row r="742" spans="5:6">
      <c r="E742" s="371"/>
      <c r="F742" s="371"/>
    </row>
    <row r="743" spans="5:6">
      <c r="E743" s="371"/>
      <c r="F743" s="371"/>
    </row>
    <row r="744" spans="5:6">
      <c r="E744" s="371"/>
      <c r="F744" s="371"/>
    </row>
    <row r="745" spans="5:6">
      <c r="E745" s="371"/>
      <c r="F745" s="371"/>
    </row>
    <row r="746" spans="5:6">
      <c r="E746" s="371"/>
      <c r="F746" s="371"/>
    </row>
    <row r="747" spans="5:6">
      <c r="E747" s="371"/>
      <c r="F747" s="371"/>
    </row>
    <row r="748" spans="5:6">
      <c r="E748" s="371"/>
      <c r="F748" s="371"/>
    </row>
    <row r="749" spans="5:6">
      <c r="E749" s="371"/>
      <c r="F749" s="371"/>
    </row>
    <row r="750" spans="5:6">
      <c r="E750" s="371"/>
      <c r="F750" s="371"/>
    </row>
    <row r="751" spans="5:6">
      <c r="E751" s="371"/>
      <c r="F751" s="371"/>
    </row>
    <row r="752" spans="5:6">
      <c r="E752" s="371"/>
      <c r="F752" s="371"/>
    </row>
    <row r="753" spans="5:6">
      <c r="E753" s="371"/>
      <c r="F753" s="371"/>
    </row>
    <row r="754" spans="5:6">
      <c r="E754" s="371"/>
      <c r="F754" s="371"/>
    </row>
    <row r="755" spans="5:6">
      <c r="E755" s="371"/>
      <c r="F755" s="371"/>
    </row>
    <row r="756" spans="5:6">
      <c r="E756" s="371"/>
      <c r="F756" s="371"/>
    </row>
    <row r="757" spans="5:6">
      <c r="E757" s="371"/>
      <c r="F757" s="371"/>
    </row>
    <row r="758" spans="5:6">
      <c r="E758" s="371"/>
      <c r="F758" s="371"/>
    </row>
    <row r="759" spans="5:6">
      <c r="E759" s="371"/>
      <c r="F759" s="371"/>
    </row>
    <row r="760" spans="5:6">
      <c r="E760" s="371"/>
      <c r="F760" s="371"/>
    </row>
    <row r="761" spans="5:6">
      <c r="E761" s="371"/>
      <c r="F761" s="371"/>
    </row>
    <row r="762" spans="5:6">
      <c r="E762" s="371"/>
      <c r="F762" s="371"/>
    </row>
    <row r="763" spans="5:6">
      <c r="E763" s="371"/>
      <c r="F763" s="371"/>
    </row>
    <row r="764" spans="5:6">
      <c r="E764" s="371"/>
      <c r="F764" s="371"/>
    </row>
    <row r="765" spans="5:6">
      <c r="E765" s="371"/>
      <c r="F765" s="371"/>
    </row>
    <row r="766" spans="5:6">
      <c r="E766" s="371"/>
      <c r="F766" s="371"/>
    </row>
    <row r="767" spans="5:6">
      <c r="E767" s="371"/>
      <c r="F767" s="371"/>
    </row>
    <row r="768" spans="5:6">
      <c r="E768" s="371"/>
      <c r="F768" s="371"/>
    </row>
    <row r="769" spans="5:6">
      <c r="E769" s="371"/>
      <c r="F769" s="371"/>
    </row>
    <row r="770" spans="5:6">
      <c r="E770" s="371"/>
      <c r="F770" s="371"/>
    </row>
    <row r="771" spans="5:6">
      <c r="E771" s="371"/>
      <c r="F771" s="371"/>
    </row>
    <row r="772" spans="5:6">
      <c r="E772" s="371"/>
      <c r="F772" s="371"/>
    </row>
    <row r="773" spans="5:6">
      <c r="E773" s="371"/>
      <c r="F773" s="371"/>
    </row>
    <row r="774" spans="5:6">
      <c r="E774" s="371"/>
      <c r="F774" s="371"/>
    </row>
    <row r="775" spans="5:6">
      <c r="E775" s="371"/>
      <c r="F775" s="371"/>
    </row>
    <row r="776" spans="5:6">
      <c r="E776" s="371"/>
      <c r="F776" s="371"/>
    </row>
    <row r="777" spans="5:6">
      <c r="E777" s="371"/>
      <c r="F777" s="371"/>
    </row>
    <row r="778" spans="5:6">
      <c r="E778" s="371"/>
      <c r="F778" s="371"/>
    </row>
    <row r="779" spans="5:6">
      <c r="E779" s="371"/>
      <c r="F779" s="371"/>
    </row>
    <row r="780" spans="5:6">
      <c r="E780" s="371"/>
      <c r="F780" s="371"/>
    </row>
    <row r="781" spans="5:6">
      <c r="E781" s="371"/>
      <c r="F781" s="371"/>
    </row>
    <row r="782" spans="5:6">
      <c r="E782" s="371"/>
      <c r="F782" s="371"/>
    </row>
    <row r="783" spans="5:6">
      <c r="E783" s="371"/>
      <c r="F783" s="371"/>
    </row>
    <row r="784" spans="5:6">
      <c r="E784" s="371"/>
      <c r="F784" s="371"/>
    </row>
    <row r="785" spans="5:6">
      <c r="E785" s="371"/>
      <c r="F785" s="371"/>
    </row>
    <row r="786" spans="5:6">
      <c r="E786" s="371"/>
      <c r="F786" s="371"/>
    </row>
    <row r="787" spans="5:6">
      <c r="E787" s="371"/>
      <c r="F787" s="371"/>
    </row>
    <row r="788" spans="5:6">
      <c r="E788" s="371"/>
      <c r="F788" s="371"/>
    </row>
    <row r="789" spans="5:6">
      <c r="E789" s="371"/>
      <c r="F789" s="371"/>
    </row>
    <row r="790" spans="5:6">
      <c r="E790" s="371"/>
      <c r="F790" s="371"/>
    </row>
    <row r="791" spans="5:6">
      <c r="E791" s="371"/>
      <c r="F791" s="371"/>
    </row>
    <row r="792" spans="5:6">
      <c r="E792" s="371"/>
      <c r="F792" s="371"/>
    </row>
    <row r="793" spans="5:6">
      <c r="E793" s="371"/>
      <c r="F793" s="371"/>
    </row>
    <row r="794" spans="5:6">
      <c r="E794" s="371"/>
      <c r="F794" s="371"/>
    </row>
    <row r="795" spans="5:6">
      <c r="E795" s="371"/>
      <c r="F795" s="371"/>
    </row>
    <row r="796" spans="5:6">
      <c r="E796" s="371"/>
      <c r="F796" s="371"/>
    </row>
    <row r="797" spans="5:6">
      <c r="E797" s="371"/>
      <c r="F797" s="371"/>
    </row>
    <row r="798" spans="5:6">
      <c r="E798" s="371"/>
      <c r="F798" s="371"/>
    </row>
    <row r="799" spans="5:6">
      <c r="E799" s="371"/>
      <c r="F799" s="371"/>
    </row>
    <row r="800" spans="5:6">
      <c r="E800" s="371"/>
      <c r="F800" s="371"/>
    </row>
    <row r="801" spans="5:6">
      <c r="E801" s="371"/>
      <c r="F801" s="371"/>
    </row>
    <row r="802" spans="5:6">
      <c r="E802" s="371"/>
      <c r="F802" s="371"/>
    </row>
    <row r="803" spans="5:6">
      <c r="E803" s="371"/>
      <c r="F803" s="371"/>
    </row>
    <row r="804" spans="5:6">
      <c r="E804" s="371"/>
      <c r="F804" s="371"/>
    </row>
    <row r="805" spans="5:6">
      <c r="E805" s="371"/>
      <c r="F805" s="371"/>
    </row>
    <row r="806" spans="5:6">
      <c r="E806" s="371"/>
      <c r="F806" s="371"/>
    </row>
    <row r="807" spans="5:6">
      <c r="E807" s="371"/>
      <c r="F807" s="371"/>
    </row>
    <row r="808" spans="5:6">
      <c r="E808" s="371"/>
      <c r="F808" s="371"/>
    </row>
    <row r="809" spans="5:6">
      <c r="E809" s="371"/>
      <c r="F809" s="371"/>
    </row>
    <row r="810" spans="5:6">
      <c r="E810" s="371"/>
      <c r="F810" s="371"/>
    </row>
    <row r="811" spans="5:6">
      <c r="E811" s="371"/>
      <c r="F811" s="371"/>
    </row>
    <row r="812" spans="5:6">
      <c r="E812" s="371"/>
      <c r="F812" s="371"/>
    </row>
    <row r="813" spans="5:6">
      <c r="E813" s="371"/>
      <c r="F813" s="371"/>
    </row>
    <row r="814" spans="5:6">
      <c r="E814" s="371"/>
      <c r="F814" s="371"/>
    </row>
    <row r="815" spans="5:6">
      <c r="E815" s="371"/>
      <c r="F815" s="371"/>
    </row>
    <row r="816" spans="5:6">
      <c r="E816" s="371"/>
      <c r="F816" s="371"/>
    </row>
    <row r="817" spans="5:6">
      <c r="E817" s="371"/>
      <c r="F817" s="371"/>
    </row>
    <row r="818" spans="5:6">
      <c r="E818" s="371"/>
      <c r="F818" s="371"/>
    </row>
    <row r="819" spans="5:6">
      <c r="E819" s="371"/>
      <c r="F819" s="371"/>
    </row>
    <row r="820" spans="5:6">
      <c r="E820" s="371"/>
      <c r="F820" s="371"/>
    </row>
    <row r="821" spans="5:6">
      <c r="E821" s="371"/>
      <c r="F821" s="371"/>
    </row>
    <row r="822" spans="5:6">
      <c r="E822" s="371"/>
      <c r="F822" s="371"/>
    </row>
    <row r="823" spans="5:6">
      <c r="E823" s="371"/>
      <c r="F823" s="371"/>
    </row>
    <row r="824" spans="5:6">
      <c r="E824" s="371"/>
      <c r="F824" s="371"/>
    </row>
    <row r="825" spans="5:6">
      <c r="E825" s="371"/>
      <c r="F825" s="371"/>
    </row>
    <row r="826" spans="5:6">
      <c r="E826" s="371"/>
      <c r="F826" s="371"/>
    </row>
    <row r="827" spans="5:6">
      <c r="E827" s="371"/>
      <c r="F827" s="371"/>
    </row>
    <row r="828" spans="5:6">
      <c r="E828" s="371"/>
      <c r="F828" s="371"/>
    </row>
    <row r="829" spans="5:6">
      <c r="E829" s="371"/>
      <c r="F829" s="371"/>
    </row>
    <row r="830" spans="5:6">
      <c r="E830" s="371"/>
      <c r="F830" s="371"/>
    </row>
    <row r="831" spans="5:6">
      <c r="E831" s="371"/>
      <c r="F831" s="371"/>
    </row>
    <row r="832" spans="5:6">
      <c r="E832" s="371"/>
      <c r="F832" s="371"/>
    </row>
    <row r="833" spans="5:6">
      <c r="E833" s="371"/>
      <c r="F833" s="371"/>
    </row>
    <row r="834" spans="5:6">
      <c r="E834" s="371"/>
      <c r="F834" s="371"/>
    </row>
    <row r="835" spans="5:6">
      <c r="E835" s="371"/>
      <c r="F835" s="371"/>
    </row>
    <row r="836" spans="5:6">
      <c r="E836" s="371"/>
      <c r="F836" s="371"/>
    </row>
    <row r="837" spans="5:6">
      <c r="E837" s="371"/>
      <c r="F837" s="371"/>
    </row>
    <row r="838" spans="5:6">
      <c r="E838" s="371"/>
      <c r="F838" s="371"/>
    </row>
    <row r="839" spans="5:6">
      <c r="E839" s="371"/>
      <c r="F839" s="371"/>
    </row>
    <row r="840" spans="5:6">
      <c r="E840" s="371"/>
      <c r="F840" s="371"/>
    </row>
    <row r="841" spans="5:6">
      <c r="E841" s="371"/>
      <c r="F841" s="371"/>
    </row>
    <row r="842" spans="5:6">
      <c r="E842" s="371"/>
      <c r="F842" s="371"/>
    </row>
    <row r="843" spans="5:6">
      <c r="E843" s="371"/>
      <c r="F843" s="371"/>
    </row>
    <row r="844" spans="5:6">
      <c r="E844" s="371"/>
      <c r="F844" s="371"/>
    </row>
    <row r="845" spans="5:6">
      <c r="E845" s="371"/>
      <c r="F845" s="371"/>
    </row>
    <row r="846" spans="5:6">
      <c r="E846" s="371"/>
      <c r="F846" s="371"/>
    </row>
    <row r="847" spans="5:6">
      <c r="E847" s="371"/>
      <c r="F847" s="371"/>
    </row>
    <row r="848" spans="5:6">
      <c r="E848" s="371"/>
      <c r="F848" s="371"/>
    </row>
    <row r="849" spans="5:6">
      <c r="E849" s="371"/>
      <c r="F849" s="371"/>
    </row>
    <row r="850" spans="5:6">
      <c r="E850" s="371"/>
      <c r="F850" s="371"/>
    </row>
    <row r="851" spans="5:6">
      <c r="E851" s="371"/>
      <c r="F851" s="371"/>
    </row>
    <row r="852" spans="5:6">
      <c r="E852" s="371"/>
      <c r="F852" s="371"/>
    </row>
    <row r="853" spans="5:6">
      <c r="E853" s="371"/>
      <c r="F853" s="371"/>
    </row>
    <row r="854" spans="5:6">
      <c r="E854" s="371"/>
      <c r="F854" s="371"/>
    </row>
    <row r="855" spans="5:6">
      <c r="E855" s="371"/>
      <c r="F855" s="371"/>
    </row>
    <row r="856" spans="5:6">
      <c r="E856" s="371"/>
      <c r="F856" s="371"/>
    </row>
    <row r="857" spans="5:6">
      <c r="E857" s="371"/>
      <c r="F857" s="371"/>
    </row>
    <row r="858" spans="5:6">
      <c r="E858" s="371"/>
      <c r="F858" s="371"/>
    </row>
    <row r="859" spans="5:6">
      <c r="E859" s="371"/>
      <c r="F859" s="371"/>
    </row>
    <row r="860" spans="5:6">
      <c r="E860" s="371"/>
      <c r="F860" s="371"/>
    </row>
    <row r="861" spans="5:6">
      <c r="E861" s="371"/>
      <c r="F861" s="371"/>
    </row>
    <row r="862" spans="5:6">
      <c r="E862" s="371"/>
      <c r="F862" s="371"/>
    </row>
    <row r="863" spans="5:6">
      <c r="E863" s="371"/>
      <c r="F863" s="371"/>
    </row>
    <row r="864" spans="5:6">
      <c r="E864" s="371"/>
      <c r="F864" s="371"/>
    </row>
    <row r="865" spans="5:6">
      <c r="E865" s="371"/>
      <c r="F865" s="371"/>
    </row>
    <row r="866" spans="5:6">
      <c r="E866" s="371"/>
      <c r="F866" s="371"/>
    </row>
    <row r="867" spans="5:6">
      <c r="E867" s="371"/>
      <c r="F867" s="371"/>
    </row>
    <row r="868" spans="5:6">
      <c r="E868" s="371"/>
      <c r="F868" s="371"/>
    </row>
    <row r="869" spans="5:6">
      <c r="E869" s="371"/>
      <c r="F869" s="371"/>
    </row>
    <row r="870" spans="5:6">
      <c r="E870" s="371"/>
      <c r="F870" s="371"/>
    </row>
    <row r="871" spans="5:6">
      <c r="E871" s="371"/>
      <c r="F871" s="371"/>
    </row>
    <row r="872" spans="5:6">
      <c r="E872" s="371"/>
      <c r="F872" s="371"/>
    </row>
    <row r="873" spans="5:6">
      <c r="E873" s="371"/>
      <c r="F873" s="371"/>
    </row>
    <row r="874" spans="5:6">
      <c r="E874" s="371"/>
      <c r="F874" s="371"/>
    </row>
    <row r="875" spans="5:6">
      <c r="E875" s="371"/>
      <c r="F875" s="371"/>
    </row>
    <row r="876" spans="5:6">
      <c r="E876" s="371"/>
      <c r="F876" s="371"/>
    </row>
    <row r="877" spans="5:6">
      <c r="E877" s="371"/>
      <c r="F877" s="371"/>
    </row>
    <row r="878" spans="5:6">
      <c r="E878" s="371"/>
      <c r="F878" s="371"/>
    </row>
    <row r="879" spans="5:6">
      <c r="E879" s="371"/>
      <c r="F879" s="371"/>
    </row>
    <row r="880" spans="5:6">
      <c r="E880" s="371"/>
      <c r="F880" s="371"/>
    </row>
    <row r="881" spans="5:6">
      <c r="E881" s="371"/>
      <c r="F881" s="371"/>
    </row>
    <row r="882" spans="5:6">
      <c r="E882" s="371"/>
      <c r="F882" s="371"/>
    </row>
    <row r="883" spans="5:6">
      <c r="E883" s="371"/>
      <c r="F883" s="371"/>
    </row>
    <row r="884" spans="5:6">
      <c r="E884" s="371"/>
      <c r="F884" s="371"/>
    </row>
    <row r="885" spans="5:6">
      <c r="E885" s="371"/>
      <c r="F885" s="371"/>
    </row>
    <row r="886" spans="5:6">
      <c r="E886" s="371"/>
      <c r="F886" s="371"/>
    </row>
    <row r="887" spans="5:6">
      <c r="E887" s="371"/>
      <c r="F887" s="371"/>
    </row>
    <row r="888" spans="5:6">
      <c r="E888" s="371"/>
      <c r="F888" s="371"/>
    </row>
    <row r="889" spans="5:6">
      <c r="E889" s="371"/>
      <c r="F889" s="371"/>
    </row>
    <row r="890" spans="5:6">
      <c r="E890" s="371"/>
      <c r="F890" s="371"/>
    </row>
    <row r="891" spans="5:6">
      <c r="E891" s="371"/>
      <c r="F891" s="371"/>
    </row>
    <row r="892" spans="5:6">
      <c r="E892" s="371"/>
      <c r="F892" s="371"/>
    </row>
    <row r="893" spans="5:6">
      <c r="E893" s="371"/>
      <c r="F893" s="371"/>
    </row>
    <row r="894" spans="5:6">
      <c r="E894" s="371"/>
      <c r="F894" s="371"/>
    </row>
    <row r="895" spans="5:6">
      <c r="E895" s="371"/>
      <c r="F895" s="371"/>
    </row>
    <row r="896" spans="5:6">
      <c r="E896" s="371"/>
      <c r="F896" s="371"/>
    </row>
    <row r="897" spans="5:6">
      <c r="E897" s="371"/>
      <c r="F897" s="371"/>
    </row>
    <row r="898" spans="5:6">
      <c r="E898" s="371"/>
      <c r="F898" s="371"/>
    </row>
    <row r="899" spans="5:6">
      <c r="E899" s="371"/>
      <c r="F899" s="371"/>
    </row>
    <row r="900" spans="5:6">
      <c r="E900" s="371"/>
      <c r="F900" s="371"/>
    </row>
    <row r="901" spans="5:6">
      <c r="E901" s="371"/>
      <c r="F901" s="371"/>
    </row>
    <row r="902" spans="5:6">
      <c r="E902" s="371"/>
      <c r="F902" s="371"/>
    </row>
    <row r="903" spans="5:6">
      <c r="E903" s="371"/>
      <c r="F903" s="371"/>
    </row>
    <row r="904" spans="5:6">
      <c r="E904" s="371"/>
      <c r="F904" s="371"/>
    </row>
    <row r="905" spans="5:6">
      <c r="E905" s="371"/>
      <c r="F905" s="371"/>
    </row>
    <row r="906" spans="5:6">
      <c r="E906" s="371"/>
      <c r="F906" s="371"/>
    </row>
    <row r="907" spans="5:6">
      <c r="E907" s="371"/>
      <c r="F907" s="371"/>
    </row>
    <row r="908" spans="5:6">
      <c r="E908" s="371"/>
      <c r="F908" s="371"/>
    </row>
    <row r="909" spans="5:6">
      <c r="E909" s="371"/>
      <c r="F909" s="371"/>
    </row>
    <row r="910" spans="5:6">
      <c r="E910" s="371"/>
      <c r="F910" s="371"/>
    </row>
    <row r="911" spans="5:6">
      <c r="E911" s="371"/>
      <c r="F911" s="371"/>
    </row>
    <row r="912" spans="5:6">
      <c r="E912" s="371"/>
      <c r="F912" s="371"/>
    </row>
    <row r="913" spans="5:6">
      <c r="E913" s="371"/>
      <c r="F913" s="371"/>
    </row>
    <row r="914" spans="5:6">
      <c r="E914" s="371"/>
      <c r="F914" s="371"/>
    </row>
    <row r="915" spans="5:6">
      <c r="E915" s="371"/>
      <c r="F915" s="371"/>
    </row>
    <row r="916" spans="5:6">
      <c r="E916" s="371"/>
      <c r="F916" s="371"/>
    </row>
    <row r="917" spans="5:6">
      <c r="E917" s="371"/>
      <c r="F917" s="371"/>
    </row>
    <row r="918" spans="5:6">
      <c r="E918" s="371"/>
      <c r="F918" s="371"/>
    </row>
    <row r="919" spans="5:6">
      <c r="E919" s="371"/>
      <c r="F919" s="371"/>
    </row>
    <row r="920" spans="5:6">
      <c r="E920" s="371"/>
      <c r="F920" s="371"/>
    </row>
    <row r="921" spans="5:6">
      <c r="E921" s="371"/>
      <c r="F921" s="371"/>
    </row>
    <row r="922" spans="5:6">
      <c r="E922" s="371"/>
      <c r="F922" s="371"/>
    </row>
    <row r="923" spans="5:6">
      <c r="E923" s="371"/>
      <c r="F923" s="371"/>
    </row>
    <row r="924" spans="5:6">
      <c r="E924" s="371"/>
      <c r="F924" s="371"/>
    </row>
    <row r="925" spans="5:6">
      <c r="E925" s="371"/>
      <c r="F925" s="371"/>
    </row>
    <row r="926" spans="5:6">
      <c r="E926" s="371"/>
      <c r="F926" s="371"/>
    </row>
    <row r="927" spans="5:6">
      <c r="E927" s="371"/>
      <c r="F927" s="371"/>
    </row>
    <row r="928" spans="5:6">
      <c r="E928" s="371"/>
      <c r="F928" s="371"/>
    </row>
    <row r="929" spans="5:6">
      <c r="E929" s="371"/>
      <c r="F929" s="371"/>
    </row>
    <row r="930" spans="5:6">
      <c r="E930" s="371"/>
      <c r="F930" s="371"/>
    </row>
    <row r="931" spans="5:6">
      <c r="E931" s="371"/>
      <c r="F931" s="371"/>
    </row>
    <row r="932" spans="5:6">
      <c r="E932" s="371"/>
      <c r="F932" s="371"/>
    </row>
    <row r="933" spans="5:6">
      <c r="E933" s="371"/>
      <c r="F933" s="371"/>
    </row>
    <row r="934" spans="5:6">
      <c r="E934" s="371"/>
      <c r="F934" s="371"/>
    </row>
    <row r="935" spans="5:6">
      <c r="E935" s="371"/>
      <c r="F935" s="371"/>
    </row>
    <row r="936" spans="5:6">
      <c r="E936" s="371"/>
      <c r="F936" s="371"/>
    </row>
    <row r="937" spans="5:6">
      <c r="E937" s="371"/>
      <c r="F937" s="371"/>
    </row>
    <row r="938" spans="5:6">
      <c r="E938" s="371"/>
      <c r="F938" s="371"/>
    </row>
    <row r="939" spans="5:6">
      <c r="E939" s="371"/>
      <c r="F939" s="371"/>
    </row>
    <row r="940" spans="5:6">
      <c r="E940" s="371"/>
      <c r="F940" s="371"/>
    </row>
    <row r="941" spans="5:6">
      <c r="E941" s="371"/>
      <c r="F941" s="371"/>
    </row>
    <row r="942" spans="5:6">
      <c r="E942" s="371"/>
      <c r="F942" s="371"/>
    </row>
    <row r="943" spans="5:6">
      <c r="E943" s="371"/>
      <c r="F943" s="371"/>
    </row>
    <row r="944" spans="5:6">
      <c r="E944" s="371"/>
      <c r="F944" s="371"/>
    </row>
    <row r="945" spans="5:6">
      <c r="E945" s="371"/>
      <c r="F945" s="371"/>
    </row>
    <row r="946" spans="5:6">
      <c r="E946" s="371"/>
      <c r="F946" s="371"/>
    </row>
    <row r="947" spans="5:6">
      <c r="E947" s="371"/>
      <c r="F947" s="371"/>
    </row>
    <row r="948" spans="5:6">
      <c r="E948" s="371"/>
      <c r="F948" s="371"/>
    </row>
    <row r="949" spans="5:6">
      <c r="E949" s="371"/>
      <c r="F949" s="371"/>
    </row>
    <row r="950" spans="5:6">
      <c r="E950" s="371"/>
      <c r="F950" s="371"/>
    </row>
    <row r="951" spans="5:6">
      <c r="E951" s="371"/>
      <c r="F951" s="371"/>
    </row>
    <row r="952" spans="5:6">
      <c r="E952" s="371"/>
      <c r="F952" s="371"/>
    </row>
    <row r="953" spans="5:6">
      <c r="E953" s="371"/>
      <c r="F953" s="371"/>
    </row>
    <row r="954" spans="5:6">
      <c r="E954" s="371"/>
      <c r="F954" s="371"/>
    </row>
    <row r="955" spans="5:6">
      <c r="E955" s="371"/>
      <c r="F955" s="371"/>
    </row>
    <row r="956" spans="5:6">
      <c r="E956" s="371"/>
      <c r="F956" s="371"/>
    </row>
    <row r="957" spans="5:6">
      <c r="E957" s="371"/>
      <c r="F957" s="371"/>
    </row>
    <row r="958" spans="5:6">
      <c r="E958" s="371"/>
      <c r="F958" s="371"/>
    </row>
    <row r="959" spans="5:6">
      <c r="E959" s="371"/>
      <c r="F959" s="371"/>
    </row>
    <row r="960" spans="5:6">
      <c r="E960" s="371"/>
      <c r="F960" s="371"/>
    </row>
    <row r="961" spans="5:6">
      <c r="E961" s="371"/>
      <c r="F961" s="371"/>
    </row>
    <row r="962" spans="5:6">
      <c r="E962" s="371"/>
      <c r="F962" s="371"/>
    </row>
    <row r="963" spans="5:6">
      <c r="E963" s="371"/>
      <c r="F963" s="371"/>
    </row>
    <row r="964" spans="5:6">
      <c r="E964" s="371"/>
      <c r="F964" s="371"/>
    </row>
    <row r="965" spans="5:6">
      <c r="E965" s="371"/>
      <c r="F965" s="371"/>
    </row>
    <row r="966" spans="5:6">
      <c r="E966" s="371"/>
      <c r="F966" s="371"/>
    </row>
    <row r="967" spans="5:6">
      <c r="E967" s="371"/>
      <c r="F967" s="371"/>
    </row>
    <row r="968" spans="5:6">
      <c r="E968" s="371"/>
      <c r="F968" s="371"/>
    </row>
    <row r="969" spans="5:6">
      <c r="E969" s="371"/>
      <c r="F969" s="371"/>
    </row>
    <row r="970" spans="5:6">
      <c r="E970" s="371"/>
      <c r="F970" s="371"/>
    </row>
    <row r="971" spans="5:6">
      <c r="E971" s="371"/>
      <c r="F971" s="371"/>
    </row>
    <row r="972" spans="5:6">
      <c r="E972" s="371"/>
      <c r="F972" s="371"/>
    </row>
    <row r="973" spans="5:6">
      <c r="E973" s="371"/>
      <c r="F973" s="371"/>
    </row>
    <row r="974" spans="5:6">
      <c r="E974" s="371"/>
      <c r="F974" s="371"/>
    </row>
    <row r="975" spans="5:6">
      <c r="E975" s="371"/>
      <c r="F975" s="371"/>
    </row>
    <row r="976" spans="5:6">
      <c r="E976" s="371"/>
      <c r="F976" s="371"/>
    </row>
    <row r="977" spans="5:6">
      <c r="E977" s="371"/>
      <c r="F977" s="371"/>
    </row>
    <row r="978" spans="5:6">
      <c r="E978" s="371"/>
      <c r="F978" s="371"/>
    </row>
    <row r="979" spans="5:6">
      <c r="E979" s="371"/>
      <c r="F979" s="371"/>
    </row>
    <row r="980" spans="5:6">
      <c r="E980" s="371"/>
      <c r="F980" s="371"/>
    </row>
    <row r="981" spans="5:6">
      <c r="E981" s="371"/>
      <c r="F981" s="371"/>
    </row>
    <row r="982" spans="5:6">
      <c r="E982" s="371"/>
      <c r="F982" s="371"/>
    </row>
    <row r="983" spans="5:6">
      <c r="E983" s="371"/>
      <c r="F983" s="371"/>
    </row>
    <row r="984" spans="5:6">
      <c r="E984" s="371"/>
      <c r="F984" s="371"/>
    </row>
    <row r="985" spans="5:6">
      <c r="E985" s="371"/>
      <c r="F985" s="371"/>
    </row>
    <row r="986" spans="5:6">
      <c r="E986" s="371"/>
      <c r="F986" s="371"/>
    </row>
    <row r="987" spans="5:6">
      <c r="E987" s="371"/>
      <c r="F987" s="371"/>
    </row>
    <row r="988" spans="5:6">
      <c r="E988" s="371"/>
      <c r="F988" s="371"/>
    </row>
    <row r="989" spans="5:6">
      <c r="E989" s="371"/>
      <c r="F989" s="371"/>
    </row>
    <row r="990" spans="5:6">
      <c r="E990" s="371"/>
      <c r="F990" s="371"/>
    </row>
    <row r="991" spans="5:6">
      <c r="E991" s="371"/>
      <c r="F991" s="371"/>
    </row>
    <row r="992" spans="5:6">
      <c r="E992" s="371"/>
      <c r="F992" s="371"/>
    </row>
    <row r="993" spans="5:6">
      <c r="E993" s="371"/>
      <c r="F993" s="371"/>
    </row>
    <row r="994" spans="5:6">
      <c r="E994" s="371"/>
      <c r="F994" s="371"/>
    </row>
    <row r="995" spans="5:6">
      <c r="E995" s="371"/>
      <c r="F995" s="371"/>
    </row>
    <row r="996" spans="5:6">
      <c r="E996" s="371"/>
      <c r="F996" s="371"/>
    </row>
    <row r="997" spans="5:6">
      <c r="E997" s="371"/>
      <c r="F997" s="371"/>
    </row>
    <row r="998" spans="5:6">
      <c r="E998" s="371"/>
      <c r="F998" s="371"/>
    </row>
    <row r="999" spans="5:6">
      <c r="E999" s="371"/>
      <c r="F999" s="371"/>
    </row>
    <row r="1000" spans="5:6">
      <c r="E1000" s="371"/>
      <c r="F1000" s="371"/>
    </row>
    <row r="1001" spans="5:6">
      <c r="E1001" s="371"/>
      <c r="F1001" s="371"/>
    </row>
    <row r="1002" spans="5:6">
      <c r="E1002" s="371"/>
      <c r="F1002" s="371"/>
    </row>
    <row r="1003" spans="5:6">
      <c r="E1003" s="371"/>
      <c r="F1003" s="371"/>
    </row>
    <row r="1004" spans="5:6">
      <c r="E1004" s="371"/>
      <c r="F1004" s="371"/>
    </row>
    <row r="1005" spans="5:6">
      <c r="E1005" s="371"/>
      <c r="F1005" s="371"/>
    </row>
    <row r="1006" spans="5:6">
      <c r="E1006" s="371"/>
      <c r="F1006" s="371"/>
    </row>
    <row r="1007" spans="5:6">
      <c r="E1007" s="371"/>
      <c r="F1007" s="371"/>
    </row>
    <row r="1008" spans="5:6">
      <c r="E1008" s="371"/>
      <c r="F1008" s="371"/>
    </row>
    <row r="1009" spans="5:6">
      <c r="E1009" s="371"/>
      <c r="F1009" s="371"/>
    </row>
    <row r="1010" spans="5:6">
      <c r="E1010" s="371"/>
      <c r="F1010" s="371"/>
    </row>
    <row r="1011" spans="5:6">
      <c r="E1011" s="371"/>
      <c r="F1011" s="371"/>
    </row>
    <row r="1012" spans="5:6">
      <c r="E1012" s="371"/>
      <c r="F1012" s="371"/>
    </row>
    <row r="1013" spans="5:6">
      <c r="E1013" s="371"/>
      <c r="F1013" s="371"/>
    </row>
    <row r="1014" spans="5:6">
      <c r="E1014" s="371"/>
      <c r="F1014" s="371"/>
    </row>
    <row r="1015" spans="5:6">
      <c r="E1015" s="371"/>
      <c r="F1015" s="371"/>
    </row>
    <row r="1016" spans="5:6">
      <c r="E1016" s="371"/>
      <c r="F1016" s="371"/>
    </row>
    <row r="1017" spans="5:6">
      <c r="E1017" s="371"/>
      <c r="F1017" s="371"/>
    </row>
    <row r="1018" spans="5:6">
      <c r="E1018" s="371"/>
      <c r="F1018" s="371"/>
    </row>
    <row r="1019" spans="5:6">
      <c r="E1019" s="371"/>
      <c r="F1019" s="371"/>
    </row>
    <row r="1020" spans="5:6">
      <c r="E1020" s="371"/>
      <c r="F1020" s="371"/>
    </row>
    <row r="1021" spans="5:6">
      <c r="E1021" s="371"/>
      <c r="F1021" s="371"/>
    </row>
    <row r="1022" spans="5:6">
      <c r="E1022" s="371"/>
      <c r="F1022" s="371"/>
    </row>
    <row r="1023" spans="5:6">
      <c r="E1023" s="371"/>
      <c r="F1023" s="371"/>
    </row>
    <row r="1024" spans="5:6">
      <c r="E1024" s="371"/>
      <c r="F1024" s="371"/>
    </row>
    <row r="1025" spans="5:6">
      <c r="E1025" s="371"/>
      <c r="F1025" s="371"/>
    </row>
    <row r="1026" spans="5:6">
      <c r="E1026" s="371"/>
      <c r="F1026" s="371"/>
    </row>
    <row r="1027" spans="5:6">
      <c r="E1027" s="371"/>
      <c r="F1027" s="371"/>
    </row>
    <row r="1028" spans="5:6">
      <c r="E1028" s="371"/>
      <c r="F1028" s="371"/>
    </row>
    <row r="1029" spans="5:6">
      <c r="E1029" s="371"/>
      <c r="F1029" s="371"/>
    </row>
    <row r="1030" spans="5:6">
      <c r="E1030" s="371"/>
      <c r="F1030" s="371"/>
    </row>
    <row r="1031" spans="5:6">
      <c r="E1031" s="371"/>
      <c r="F1031" s="371"/>
    </row>
    <row r="1032" spans="5:6">
      <c r="E1032" s="371"/>
      <c r="F1032" s="371"/>
    </row>
    <row r="1033" spans="5:6">
      <c r="E1033" s="371"/>
      <c r="F1033" s="371"/>
    </row>
    <row r="1034" spans="5:6">
      <c r="E1034" s="371"/>
      <c r="F1034" s="371"/>
    </row>
    <row r="1035" spans="5:6">
      <c r="E1035" s="371"/>
      <c r="F1035" s="371"/>
    </row>
    <row r="1036" spans="5:6">
      <c r="E1036" s="371"/>
      <c r="F1036" s="371"/>
    </row>
    <row r="1037" spans="5:6">
      <c r="E1037" s="371"/>
      <c r="F1037" s="371"/>
    </row>
    <row r="1038" spans="5:6">
      <c r="E1038" s="371"/>
      <c r="F1038" s="371"/>
    </row>
    <row r="1039" spans="5:6">
      <c r="E1039" s="371"/>
      <c r="F1039" s="371"/>
    </row>
    <row r="1040" spans="5:6">
      <c r="E1040" s="371"/>
      <c r="F1040" s="371"/>
    </row>
    <row r="1041" spans="5:6">
      <c r="E1041" s="371"/>
      <c r="F1041" s="371"/>
    </row>
    <row r="1042" spans="5:6">
      <c r="E1042" s="371"/>
      <c r="F1042" s="371"/>
    </row>
    <row r="1043" spans="5:6">
      <c r="E1043" s="371"/>
      <c r="F1043" s="371"/>
    </row>
    <row r="1044" spans="5:6">
      <c r="E1044" s="371"/>
      <c r="F1044" s="371"/>
    </row>
    <row r="1045" spans="5:6">
      <c r="E1045" s="371"/>
      <c r="F1045" s="371"/>
    </row>
    <row r="1046" spans="5:6">
      <c r="E1046" s="371"/>
      <c r="F1046" s="371"/>
    </row>
    <row r="1047" spans="5:6">
      <c r="E1047" s="371"/>
      <c r="F1047" s="371"/>
    </row>
    <row r="1048" spans="5:6">
      <c r="E1048" s="371"/>
      <c r="F1048" s="371"/>
    </row>
    <row r="1049" spans="5:6">
      <c r="E1049" s="371"/>
      <c r="F1049" s="371"/>
    </row>
    <row r="1050" spans="5:6">
      <c r="E1050" s="371"/>
      <c r="F1050" s="371"/>
    </row>
    <row r="1051" spans="5:6">
      <c r="E1051" s="371"/>
      <c r="F1051" s="371"/>
    </row>
    <row r="1052" spans="5:6">
      <c r="E1052" s="371"/>
      <c r="F1052" s="371"/>
    </row>
    <row r="1053" spans="5:6">
      <c r="E1053" s="371"/>
      <c r="F1053" s="371"/>
    </row>
    <row r="1054" spans="5:6">
      <c r="E1054" s="371"/>
      <c r="F1054" s="371"/>
    </row>
    <row r="1055" spans="5:6">
      <c r="E1055" s="371"/>
      <c r="F1055" s="371"/>
    </row>
    <row r="1056" spans="5:6">
      <c r="E1056" s="371"/>
      <c r="F1056" s="371"/>
    </row>
    <row r="1057" spans="5:6">
      <c r="E1057" s="371"/>
      <c r="F1057" s="371"/>
    </row>
    <row r="1058" spans="5:6">
      <c r="E1058" s="371"/>
      <c r="F1058" s="371"/>
    </row>
    <row r="1059" spans="5:6">
      <c r="E1059" s="371"/>
      <c r="F1059" s="371"/>
    </row>
    <row r="1060" spans="5:6">
      <c r="E1060" s="371"/>
      <c r="F1060" s="371"/>
    </row>
    <row r="1061" spans="5:6">
      <c r="E1061" s="371"/>
      <c r="F1061" s="371"/>
    </row>
    <row r="1062" spans="5:6">
      <c r="E1062" s="371"/>
      <c r="F1062" s="371"/>
    </row>
    <row r="1063" spans="5:6">
      <c r="E1063" s="371"/>
      <c r="F1063" s="371"/>
    </row>
    <row r="1064" spans="5:6">
      <c r="E1064" s="371"/>
      <c r="F1064" s="371"/>
    </row>
    <row r="1065" spans="5:6">
      <c r="E1065" s="371"/>
      <c r="F1065" s="371"/>
    </row>
    <row r="1066" spans="5:6">
      <c r="E1066" s="371"/>
      <c r="F1066" s="371"/>
    </row>
    <row r="1067" spans="5:6">
      <c r="E1067" s="371"/>
      <c r="F1067" s="371"/>
    </row>
    <row r="1068" spans="5:6">
      <c r="E1068" s="371"/>
      <c r="F1068" s="371"/>
    </row>
    <row r="1069" spans="5:6">
      <c r="E1069" s="371"/>
      <c r="F1069" s="371"/>
    </row>
    <row r="1070" spans="5:6">
      <c r="E1070" s="371"/>
      <c r="F1070" s="371"/>
    </row>
    <row r="1071" spans="5:6">
      <c r="E1071" s="371"/>
      <c r="F1071" s="371"/>
    </row>
    <row r="1072" spans="5:6">
      <c r="E1072" s="371"/>
      <c r="F1072" s="371"/>
    </row>
    <row r="1073" spans="5:6">
      <c r="E1073" s="371"/>
      <c r="F1073" s="371"/>
    </row>
    <row r="1074" spans="5:6">
      <c r="E1074" s="371"/>
      <c r="F1074" s="371"/>
    </row>
    <row r="1075" spans="5:6">
      <c r="E1075" s="371"/>
      <c r="F1075" s="371"/>
    </row>
    <row r="1076" spans="5:6">
      <c r="E1076" s="371"/>
      <c r="F1076" s="371"/>
    </row>
    <row r="1077" spans="5:6">
      <c r="E1077" s="371"/>
      <c r="F1077" s="371"/>
    </row>
    <row r="1078" spans="5:6">
      <c r="E1078" s="371"/>
      <c r="F1078" s="371"/>
    </row>
    <row r="1079" spans="5:6">
      <c r="E1079" s="371"/>
      <c r="F1079" s="371"/>
    </row>
    <row r="1080" spans="5:6">
      <c r="E1080" s="371"/>
      <c r="F1080" s="371"/>
    </row>
    <row r="1081" spans="5:6">
      <c r="E1081" s="371"/>
      <c r="F1081" s="371"/>
    </row>
    <row r="1082" spans="5:6">
      <c r="E1082" s="371"/>
      <c r="F1082" s="371"/>
    </row>
    <row r="1083" spans="5:6">
      <c r="E1083" s="371"/>
      <c r="F1083" s="371"/>
    </row>
    <row r="1084" spans="5:6">
      <c r="E1084" s="371"/>
      <c r="F1084" s="371"/>
    </row>
    <row r="1085" spans="5:6">
      <c r="E1085" s="371"/>
      <c r="F1085" s="371"/>
    </row>
    <row r="1086" spans="5:6">
      <c r="E1086" s="371"/>
      <c r="F1086" s="371"/>
    </row>
    <row r="1087" spans="5:6">
      <c r="E1087" s="371"/>
      <c r="F1087" s="371"/>
    </row>
    <row r="1088" spans="5:6">
      <c r="E1088" s="371"/>
      <c r="F1088" s="371"/>
    </row>
    <row r="1089" spans="5:6">
      <c r="E1089" s="371"/>
      <c r="F1089" s="371"/>
    </row>
    <row r="1090" spans="5:6">
      <c r="E1090" s="371"/>
      <c r="F1090" s="371"/>
    </row>
  </sheetData>
  <mergeCells count="133">
    <mergeCell ref="B10:B11"/>
    <mergeCell ref="C28:C29"/>
    <mergeCell ref="L13:L14"/>
    <mergeCell ref="M13:M14"/>
    <mergeCell ref="N13:N14"/>
    <mergeCell ref="N40:N41"/>
    <mergeCell ref="A13:A15"/>
    <mergeCell ref="B13:B15"/>
    <mergeCell ref="A26:A27"/>
    <mergeCell ref="B26:B27"/>
    <mergeCell ref="C26:C27"/>
    <mergeCell ref="J26:J27"/>
    <mergeCell ref="K26:K27"/>
    <mergeCell ref="J23:J25"/>
    <mergeCell ref="K23:K25"/>
    <mergeCell ref="B28:B29"/>
    <mergeCell ref="N26:N27"/>
    <mergeCell ref="B23:B25"/>
    <mergeCell ref="C23:C25"/>
    <mergeCell ref="M23:M25"/>
    <mergeCell ref="N23:N25"/>
    <mergeCell ref="J28:J29"/>
    <mergeCell ref="K28:K29"/>
    <mergeCell ref="C13:C15"/>
    <mergeCell ref="I43:R54"/>
    <mergeCell ref="B5:H5"/>
    <mergeCell ref="J13:J15"/>
    <mergeCell ref="K13:K15"/>
    <mergeCell ref="O1:R1"/>
    <mergeCell ref="O10:Q10"/>
    <mergeCell ref="R10:R11"/>
    <mergeCell ref="J10:J11"/>
    <mergeCell ref="K10:K11"/>
    <mergeCell ref="L10:L11"/>
    <mergeCell ref="G10:G11"/>
    <mergeCell ref="A1:H1"/>
    <mergeCell ref="B4:F4"/>
    <mergeCell ref="H10:H11"/>
    <mergeCell ref="A2:R2"/>
    <mergeCell ref="A8:J8"/>
    <mergeCell ref="A9:R9"/>
    <mergeCell ref="M10:N10"/>
    <mergeCell ref="C10:C11"/>
    <mergeCell ref="D10:D11"/>
    <mergeCell ref="E10:E11"/>
    <mergeCell ref="F10:F11"/>
    <mergeCell ref="I10:I11"/>
    <mergeCell ref="A10:A11"/>
    <mergeCell ref="Q23:Q25"/>
    <mergeCell ref="A57:C57"/>
    <mergeCell ref="C40:C41"/>
    <mergeCell ref="J40:J41"/>
    <mergeCell ref="K40:K41"/>
    <mergeCell ref="C38:C39"/>
    <mergeCell ref="J38:J39"/>
    <mergeCell ref="K38:K39"/>
    <mergeCell ref="B38:B39"/>
    <mergeCell ref="J36:J37"/>
    <mergeCell ref="K36:K37"/>
    <mergeCell ref="A40:A41"/>
    <mergeCell ref="B40:B41"/>
    <mergeCell ref="C36:C37"/>
    <mergeCell ref="A42:D42"/>
    <mergeCell ref="B36:B37"/>
    <mergeCell ref="A38:A39"/>
    <mergeCell ref="A54:D54"/>
    <mergeCell ref="B46:D46"/>
    <mergeCell ref="A48:D48"/>
    <mergeCell ref="A45:D45"/>
    <mergeCell ref="A51:D51"/>
    <mergeCell ref="A52:D52"/>
    <mergeCell ref="A53:D53"/>
    <mergeCell ref="Q28:Q29"/>
    <mergeCell ref="A28:A29"/>
    <mergeCell ref="O28:O29"/>
    <mergeCell ref="P28:P29"/>
    <mergeCell ref="Q40:Q41"/>
    <mergeCell ref="Q38:Q39"/>
    <mergeCell ref="M36:M37"/>
    <mergeCell ref="N36:N37"/>
    <mergeCell ref="M28:M29"/>
    <mergeCell ref="P40:P41"/>
    <mergeCell ref="Q36:Q37"/>
    <mergeCell ref="O38:O39"/>
    <mergeCell ref="A36:A37"/>
    <mergeCell ref="A49:D49"/>
    <mergeCell ref="L28:L29"/>
    <mergeCell ref="A50:D50"/>
    <mergeCell ref="M38:M39"/>
    <mergeCell ref="N38:N39"/>
    <mergeCell ref="I13:I15"/>
    <mergeCell ref="R23:R25"/>
    <mergeCell ref="I23:I25"/>
    <mergeCell ref="I26:I41"/>
    <mergeCell ref="R26:R41"/>
    <mergeCell ref="L36:L37"/>
    <mergeCell ref="O36:O37"/>
    <mergeCell ref="P36:P37"/>
    <mergeCell ref="L26:L27"/>
    <mergeCell ref="O26:O27"/>
    <mergeCell ref="P26:P27"/>
    <mergeCell ref="L40:L41"/>
    <mergeCell ref="O40:O41"/>
    <mergeCell ref="Q26:Q27"/>
    <mergeCell ref="O23:O25"/>
    <mergeCell ref="A43:D43"/>
    <mergeCell ref="A44:D44"/>
    <mergeCell ref="A23:A25"/>
    <mergeCell ref="P23:P25"/>
    <mergeCell ref="A7:B7"/>
    <mergeCell ref="C7:F7"/>
    <mergeCell ref="A47:D47"/>
    <mergeCell ref="L38:L39"/>
    <mergeCell ref="L23:L25"/>
    <mergeCell ref="N28:N29"/>
    <mergeCell ref="T40:T41"/>
    <mergeCell ref="K42:T42"/>
    <mergeCell ref="T13:T15"/>
    <mergeCell ref="T10:T11"/>
    <mergeCell ref="J12:T12"/>
    <mergeCell ref="J22:T22"/>
    <mergeCell ref="T23:T25"/>
    <mergeCell ref="T26:T27"/>
    <mergeCell ref="T28:T29"/>
    <mergeCell ref="T36:T37"/>
    <mergeCell ref="T38:T39"/>
    <mergeCell ref="O13:O15"/>
    <mergeCell ref="P13:P15"/>
    <mergeCell ref="Q13:Q15"/>
    <mergeCell ref="M26:M27"/>
    <mergeCell ref="P38:P39"/>
    <mergeCell ref="M40:M41"/>
    <mergeCell ref="R13:R15"/>
  </mergeCells>
  <conditionalFormatting sqref="E10:H10">
    <cfRule type="dataBar" priority="1">
      <dataBar>
        <cfvo type="min"/>
        <cfvo type="max"/>
        <color rgb="FF638EC6"/>
      </dataBar>
      <extLst>
        <ext xmlns:x14="http://schemas.microsoft.com/office/spreadsheetml/2009/9/main" uri="{B025F937-C7B1-47D3-B67F-A62EFF666E3E}">
          <x14:id>{B88D0142-4E8D-4DA0-B00A-1A1CC5E3602B}</x14:id>
        </ext>
      </extLst>
    </cfRule>
  </conditionalFormatting>
  <conditionalFormatting sqref="I10:J10 I12">
    <cfRule type="dataBar" priority="2">
      <dataBar>
        <cfvo type="min"/>
        <cfvo type="max"/>
        <color rgb="FF638EC6"/>
      </dataBar>
      <extLst>
        <ext xmlns:x14="http://schemas.microsoft.com/office/spreadsheetml/2009/9/main" uri="{B025F937-C7B1-47D3-B67F-A62EFF666E3E}">
          <x14:id>{623EC25E-24C5-413C-ACA5-BDA91C468272}</x14:id>
        </ext>
      </extLst>
    </cfRule>
  </conditionalFormatting>
  <pageMargins left="0.7" right="0.7" top="0.75" bottom="0.75" header="0.3" footer="0.3"/>
  <pageSetup paperSize="8" scale="60"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B88D0142-4E8D-4DA0-B00A-1A1CC5E3602B}">
            <x14:dataBar minLength="0" maxLength="100" border="1" negativeBarBorderColorSameAsPositive="0">
              <x14:cfvo type="autoMin"/>
              <x14:cfvo type="autoMax"/>
              <x14:borderColor rgb="FF638EC6"/>
              <x14:negativeFillColor rgb="FFFF0000"/>
              <x14:negativeBorderColor rgb="FFFF0000"/>
              <x14:axisColor rgb="FF000000"/>
            </x14:dataBar>
          </x14:cfRule>
          <xm:sqref>E10:H10</xm:sqref>
        </x14:conditionalFormatting>
        <x14:conditionalFormatting xmlns:xm="http://schemas.microsoft.com/office/excel/2006/main">
          <x14:cfRule type="dataBar" id="{623EC25E-24C5-413C-ACA5-BDA91C468272}">
            <x14:dataBar minLength="0" maxLength="100" border="1" negativeBarBorderColorSameAsPositive="0">
              <x14:cfvo type="autoMin"/>
              <x14:cfvo type="autoMax"/>
              <x14:borderColor rgb="FF638EC6"/>
              <x14:negativeFillColor rgb="FFFF0000"/>
              <x14:negativeBorderColor rgb="FFFF0000"/>
              <x14:axisColor rgb="FF000000"/>
            </x14:dataBar>
          </x14:cfRule>
          <xm:sqref>I10:J10 I12</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2AA0C-A947-47D3-986E-93671AAB61EB}">
  <sheetPr codeName="Lapas12"/>
  <dimension ref="A1:AY1160"/>
  <sheetViews>
    <sheetView topLeftCell="E45" zoomScaleNormal="100" workbookViewId="0">
      <selection activeCell="M52" sqref="M52:M53"/>
    </sheetView>
  </sheetViews>
  <sheetFormatPr defaultColWidth="9.15234375" defaultRowHeight="11.6"/>
  <cols>
    <col min="1" max="1" width="15.3046875" style="374" customWidth="1"/>
    <col min="2" max="2" width="34.84375" style="374" customWidth="1"/>
    <col min="3" max="3" width="4.3046875" style="374" customWidth="1"/>
    <col min="4" max="4" width="7.69140625" style="374" customWidth="1"/>
    <col min="5" max="5" width="15.15234375" style="375" customWidth="1"/>
    <col min="6" max="6" width="13.3828125" style="375" customWidth="1"/>
    <col min="7" max="7" width="14" style="375" customWidth="1"/>
    <col min="8" max="8" width="12.84375" style="375" customWidth="1"/>
    <col min="9" max="9" width="10.69140625" style="374" hidden="1" customWidth="1"/>
    <col min="10" max="10" width="12.3046875" style="374" customWidth="1"/>
    <col min="11" max="11" width="55.53515625" style="1489" customWidth="1"/>
    <col min="12" max="12" width="15.53515625" style="374" customWidth="1"/>
    <col min="13" max="13" width="30.53515625" style="374" customWidth="1"/>
    <col min="14" max="14" width="18" style="374" customWidth="1"/>
    <col min="15" max="15" width="17.3046875" style="374" customWidth="1"/>
    <col min="16" max="18" width="6.3046875" style="462" hidden="1" customWidth="1"/>
    <col min="19" max="19" width="29.3828125" style="374" hidden="1" customWidth="1"/>
    <col min="20" max="20" width="14.53515625" style="374" customWidth="1"/>
    <col min="21" max="21" width="9.15234375" style="374"/>
    <col min="22" max="22" width="8.84375" style="374" customWidth="1"/>
    <col min="23" max="23" width="17" style="374" customWidth="1"/>
    <col min="24" max="16384" width="9.15234375" style="374"/>
  </cols>
  <sheetData>
    <row r="1" spans="1:22" ht="21" customHeight="1">
      <c r="A1" s="1901" t="s">
        <v>1912</v>
      </c>
      <c r="B1" s="1901"/>
      <c r="C1" s="1901"/>
      <c r="D1" s="1901"/>
      <c r="E1" s="1901"/>
      <c r="F1" s="1901"/>
      <c r="G1" s="1901"/>
      <c r="H1" s="1901"/>
      <c r="I1" s="1901"/>
      <c r="J1" s="1901"/>
      <c r="K1" s="1901"/>
      <c r="P1" s="1901"/>
      <c r="Q1" s="1901"/>
      <c r="R1" s="1901"/>
      <c r="S1" s="1901"/>
    </row>
    <row r="2" spans="1:22" ht="37.950000000000003" customHeight="1">
      <c r="A2" s="1867" t="s">
        <v>2696</v>
      </c>
      <c r="B2" s="1867"/>
      <c r="C2" s="1867"/>
      <c r="D2" s="1867"/>
      <c r="E2" s="1867"/>
      <c r="F2" s="1867"/>
      <c r="G2" s="1867"/>
      <c r="H2" s="1867"/>
      <c r="I2" s="1867"/>
      <c r="J2" s="1867"/>
      <c r="K2" s="1867"/>
      <c r="L2" s="1867"/>
      <c r="M2" s="1867"/>
      <c r="N2" s="1867"/>
      <c r="O2" s="1867"/>
      <c r="P2" s="1867"/>
      <c r="Q2" s="1867"/>
      <c r="R2" s="1867"/>
      <c r="S2" s="1867"/>
    </row>
    <row r="3" spans="1:22" ht="7.95" customHeight="1">
      <c r="E3" s="374"/>
      <c r="F3" s="374"/>
      <c r="G3" s="374"/>
      <c r="H3" s="374"/>
    </row>
    <row r="4" spans="1:22">
      <c r="A4" s="374" t="str">
        <f>A16</f>
        <v>04.01.01. (T)</v>
      </c>
      <c r="B4" s="374" t="str">
        <f>B16</f>
        <v>Užtikrinti efektyvią kultūros įstaigų veiklą</v>
      </c>
      <c r="E4" s="374"/>
      <c r="F4" s="374"/>
      <c r="G4" s="374"/>
      <c r="H4" s="374"/>
    </row>
    <row r="5" spans="1:22" ht="11.5" customHeight="1">
      <c r="A5" s="459" t="str">
        <f>A40</f>
        <v>04.02.01. (T)</v>
      </c>
      <c r="B5" s="1954" t="str">
        <f>B40</f>
        <v>Sąlygų Dainų švenčių tradicijos tęstinumui Visagino savivaldybėje sudarymas, mėgėjų meno kolektyvų pasirengimo ir dalyvavimo Dainų šventėse,  vietiniuose, regioniniuose, respublikiniuose ir tarptautiniuose renginiuose užtikrinimas, mėgėjų meną populiarinančių renginių organizavimas, tautinių mažumų kultūrų įvairovės pristatymas</v>
      </c>
      <c r="C5" s="1954"/>
      <c r="D5" s="1954"/>
      <c r="E5" s="1954"/>
      <c r="F5" s="1954"/>
      <c r="G5" s="1954"/>
      <c r="H5" s="1954"/>
      <c r="I5" s="1954"/>
      <c r="J5" s="1954"/>
      <c r="K5" s="1954"/>
      <c r="L5" s="1954"/>
      <c r="M5" s="1954"/>
      <c r="N5" s="1954"/>
      <c r="O5" s="1954"/>
      <c r="P5" s="1954"/>
      <c r="Q5" s="1954"/>
      <c r="R5" s="1954"/>
      <c r="S5" s="1954"/>
      <c r="T5" s="459"/>
      <c r="U5" s="459"/>
      <c r="V5" s="459"/>
    </row>
    <row r="6" spans="1:22" ht="12" customHeight="1">
      <c r="A6" s="374" t="str">
        <f>A56</f>
        <v>04.02.02. (T)</v>
      </c>
      <c r="B6" s="1955" t="str">
        <f>B56</f>
        <v>Siekiant formuoti regioninį išskirtinumą, kurti savitus, aktualaus turinio, kokybiškus kultūros produktus ir paslaugas, sudaryti sąlygas savivaldybės kultūros lauko veikėjų kultūrinių,  kūrybinių iniciatyvų įgyvendinimui, tam pasitelkti kūrybiškos vietokūros metodo teikiamas galimybes bei sudaryti sąlygas profesionalaus meno prieinamumui</v>
      </c>
      <c r="C6" s="1955"/>
      <c r="D6" s="1955"/>
      <c r="E6" s="1955"/>
      <c r="F6" s="1955"/>
      <c r="G6" s="1955"/>
      <c r="H6" s="1955"/>
      <c r="I6" s="1955"/>
      <c r="J6" s="1955"/>
      <c r="K6" s="1955"/>
      <c r="L6" s="1955"/>
      <c r="M6" s="1955"/>
      <c r="N6" s="1955"/>
      <c r="O6" s="1955"/>
      <c r="P6" s="1955"/>
      <c r="Q6" s="1955"/>
      <c r="R6" s="1955"/>
      <c r="S6" s="1955"/>
    </row>
    <row r="7" spans="1:22" ht="10.95" customHeight="1">
      <c r="A7" s="459" t="str">
        <f>A87</f>
        <v>04.02.03. (T)</v>
      </c>
      <c r="B7" s="374" t="str">
        <f>B87</f>
        <v>Valstybės švenčių, sukakčių, įvykių minėjimas, visuomenės pilietiškumo, patriotiškumo ir nacionalinės savivertės stiprinimas</v>
      </c>
      <c r="E7" s="374"/>
      <c r="F7" s="374"/>
      <c r="G7" s="374"/>
      <c r="H7" s="374"/>
    </row>
    <row r="8" spans="1:22" ht="12" customHeight="1">
      <c r="A8" s="459" t="str">
        <f>A97</f>
        <v>04.02.04. (T)</v>
      </c>
      <c r="B8" s="374" t="str">
        <f>B97</f>
        <v>Sociokultūrinių bendruomenės poreikių tenkinimas, laisvalaikio, neformaliojo švietimo programų, kultūrinių edukacijų, ugdančių gyventojų kultūrines kompetencijas ir kūrybiškumą, organizavimas įtraukiant skirtingo amžiaus, pomėgių ir poreikių visuomenės grupes</v>
      </c>
      <c r="E8" s="374"/>
      <c r="F8" s="374"/>
      <c r="G8" s="374"/>
      <c r="H8" s="374"/>
    </row>
    <row r="9" spans="1:22" ht="19.2" customHeight="1">
      <c r="E9" s="374"/>
      <c r="F9" s="374"/>
      <c r="G9" s="374"/>
      <c r="H9" s="374"/>
    </row>
    <row r="10" spans="1:22" s="368" customFormat="1" ht="19.2" customHeight="1">
      <c r="A10" s="1867" t="s">
        <v>2876</v>
      </c>
      <c r="B10" s="1867"/>
      <c r="C10" s="1867"/>
      <c r="D10" s="1867"/>
      <c r="E10" s="1867"/>
      <c r="F10" s="1867"/>
      <c r="G10" s="1867"/>
      <c r="H10" s="1867"/>
      <c r="I10" s="448"/>
      <c r="J10" s="374"/>
      <c r="K10" s="1489"/>
      <c r="L10" s="374"/>
      <c r="M10" s="374"/>
      <c r="N10" s="374"/>
      <c r="O10" s="374"/>
      <c r="P10" s="452"/>
      <c r="Q10" s="452"/>
      <c r="R10" s="452"/>
      <c r="S10" s="373"/>
    </row>
    <row r="11" spans="1:22" s="368" customFormat="1" ht="22.2" customHeight="1">
      <c r="A11" s="1867" t="s">
        <v>2736</v>
      </c>
      <c r="B11" s="1867"/>
      <c r="C11" s="1867"/>
      <c r="D11" s="1867"/>
      <c r="E11" s="1867"/>
      <c r="F11" s="1867"/>
      <c r="G11" s="1867"/>
      <c r="H11" s="1867"/>
      <c r="I11" s="1867"/>
      <c r="J11" s="1867"/>
      <c r="K11" s="1867"/>
      <c r="L11" s="1867"/>
      <c r="M11" s="1867"/>
      <c r="N11" s="1867"/>
      <c r="O11" s="1867"/>
      <c r="P11" s="1867"/>
      <c r="Q11" s="1867"/>
      <c r="R11" s="1867"/>
      <c r="S11" s="1867"/>
    </row>
    <row r="12" spans="1:22" ht="9" customHeight="1">
      <c r="A12" s="459"/>
      <c r="E12" s="374"/>
      <c r="F12" s="374"/>
      <c r="G12" s="374"/>
      <c r="H12" s="374"/>
    </row>
    <row r="13" spans="1:22">
      <c r="A13" s="1953" t="s">
        <v>3697</v>
      </c>
      <c r="B13" s="1953"/>
      <c r="C13" s="1953"/>
      <c r="D13" s="1953"/>
      <c r="E13" s="1953"/>
      <c r="F13" s="1953"/>
      <c r="G13" s="1953"/>
      <c r="H13" s="1953"/>
      <c r="I13" s="1953"/>
    </row>
    <row r="14" spans="1:22" s="489" customFormat="1" ht="48" customHeight="1">
      <c r="A14" s="1681" t="s">
        <v>994</v>
      </c>
      <c r="B14" s="1681" t="s">
        <v>1933</v>
      </c>
      <c r="C14" s="1907" t="s">
        <v>1318</v>
      </c>
      <c r="D14" s="1909" t="s">
        <v>1319</v>
      </c>
      <c r="E14" s="1784" t="s">
        <v>2857</v>
      </c>
      <c r="F14" s="1784" t="s">
        <v>2856</v>
      </c>
      <c r="G14" s="1784" t="s">
        <v>2858</v>
      </c>
      <c r="H14" s="1784" t="s">
        <v>2859</v>
      </c>
      <c r="I14" s="1948" t="s">
        <v>2393</v>
      </c>
      <c r="J14" s="1950" t="s">
        <v>1969</v>
      </c>
      <c r="K14" s="1846" t="s">
        <v>2750</v>
      </c>
      <c r="L14" s="1680" t="s">
        <v>2861</v>
      </c>
      <c r="M14" s="1680" t="s">
        <v>2864</v>
      </c>
      <c r="N14" s="1902" t="s">
        <v>2865</v>
      </c>
      <c r="O14" s="1904"/>
      <c r="P14" s="1680" t="s">
        <v>2868</v>
      </c>
      <c r="Q14" s="1680"/>
      <c r="R14" s="1680"/>
      <c r="S14" s="1905" t="s">
        <v>996</v>
      </c>
      <c r="T14" s="1680" t="s">
        <v>3733</v>
      </c>
    </row>
    <row r="15" spans="1:22" s="489" customFormat="1" ht="51" customHeight="1">
      <c r="A15" s="1952"/>
      <c r="B15" s="1952"/>
      <c r="C15" s="1946"/>
      <c r="D15" s="1947"/>
      <c r="E15" s="1785"/>
      <c r="F15" s="1785"/>
      <c r="G15" s="1785"/>
      <c r="H15" s="1785"/>
      <c r="I15" s="1949"/>
      <c r="J15" s="1951"/>
      <c r="K15" s="1846"/>
      <c r="L15" s="1680"/>
      <c r="M15" s="1680"/>
      <c r="N15" s="463" t="s">
        <v>2862</v>
      </c>
      <c r="O15" s="463" t="s">
        <v>2863</v>
      </c>
      <c r="P15" s="463">
        <v>2024</v>
      </c>
      <c r="Q15" s="463">
        <v>2025</v>
      </c>
      <c r="R15" s="463">
        <v>2026</v>
      </c>
      <c r="S15" s="1906"/>
      <c r="T15" s="1680"/>
    </row>
    <row r="16" spans="1:22" s="449" customFormat="1" ht="49.95" customHeight="1">
      <c r="A16" s="496" t="s">
        <v>1984</v>
      </c>
      <c r="B16" s="496" t="s">
        <v>1537</v>
      </c>
      <c r="C16" s="902"/>
      <c r="D16" s="902"/>
      <c r="E16" s="691">
        <f>SUM(E23,E38)</f>
        <v>1523.662</v>
      </c>
      <c r="F16" s="691">
        <f t="shared" ref="F16:G16" si="0">SUM(F23,F38)</f>
        <v>1645.2850000000001</v>
      </c>
      <c r="G16" s="691">
        <f t="shared" si="0"/>
        <v>1541.4579999999999</v>
      </c>
      <c r="H16" s="1091">
        <f>G16/F16</f>
        <v>0.93689421589572619</v>
      </c>
      <c r="I16" s="1092">
        <f t="shared" ref="I16" si="1">SUM(I23,I38)</f>
        <v>1745.6989999999998</v>
      </c>
      <c r="J16" s="501" t="s">
        <v>1149</v>
      </c>
      <c r="K16" s="1653"/>
      <c r="L16" s="1654"/>
      <c r="M16" s="1654"/>
      <c r="N16" s="1654"/>
      <c r="O16" s="1654"/>
      <c r="P16" s="1654"/>
      <c r="Q16" s="1654"/>
      <c r="R16" s="1654"/>
      <c r="S16" s="1654"/>
      <c r="T16" s="1919"/>
    </row>
    <row r="17" spans="1:20" ht="29.25" customHeight="1">
      <c r="A17" s="1767" t="s">
        <v>1985</v>
      </c>
      <c r="B17" s="1769" t="s">
        <v>1383</v>
      </c>
      <c r="C17" s="1957" t="s">
        <v>1325</v>
      </c>
      <c r="D17" s="659" t="s">
        <v>668</v>
      </c>
      <c r="E17" s="734">
        <f>SUM(E24,E30)</f>
        <v>1368.74</v>
      </c>
      <c r="F17" s="734">
        <f t="shared" ref="F17:G17" si="2">SUM(F24,F30)</f>
        <v>1362.78</v>
      </c>
      <c r="G17" s="734">
        <f t="shared" si="2"/>
        <v>1296.4179999999999</v>
      </c>
      <c r="H17" s="1156">
        <f t="shared" ref="H17:H22" si="3">G17/F17</f>
        <v>0.95130395221532449</v>
      </c>
      <c r="I17" s="1114">
        <f t="shared" ref="I17" si="4">SUM(I24,I30)</f>
        <v>1494.6489999999999</v>
      </c>
      <c r="J17" s="1762" t="s">
        <v>2225</v>
      </c>
      <c r="K17" s="1641" t="s">
        <v>3640</v>
      </c>
      <c r="L17" s="1639" t="s">
        <v>545</v>
      </c>
      <c r="M17" s="1637" t="s">
        <v>3100</v>
      </c>
      <c r="N17" s="1646" t="s">
        <v>612</v>
      </c>
      <c r="O17" s="1646" t="s">
        <v>612</v>
      </c>
      <c r="P17" s="1639" t="s">
        <v>1568</v>
      </c>
      <c r="Q17" s="1639" t="s">
        <v>1568</v>
      </c>
      <c r="R17" s="1639" t="s">
        <v>1568</v>
      </c>
      <c r="S17" s="1924" t="s">
        <v>2226</v>
      </c>
      <c r="T17" s="1924" t="s">
        <v>3543</v>
      </c>
    </row>
    <row r="18" spans="1:20" ht="30" customHeight="1">
      <c r="A18" s="1767"/>
      <c r="B18" s="1769"/>
      <c r="C18" s="1957"/>
      <c r="D18" s="659" t="s">
        <v>1324</v>
      </c>
      <c r="E18" s="734">
        <f t="shared" ref="E18:I18" si="5">SUM(E25,E31)</f>
        <v>55.830000000000005</v>
      </c>
      <c r="F18" s="734">
        <f t="shared" si="5"/>
        <v>42.46</v>
      </c>
      <c r="G18" s="734">
        <f t="shared" si="5"/>
        <v>42.253999999999998</v>
      </c>
      <c r="H18" s="1156">
        <f t="shared" si="3"/>
        <v>0.99514837494112096</v>
      </c>
      <c r="I18" s="1114">
        <f t="shared" si="5"/>
        <v>41.6</v>
      </c>
      <c r="J18" s="1763"/>
      <c r="K18" s="1699"/>
      <c r="L18" s="1639"/>
      <c r="M18" s="1639"/>
      <c r="N18" s="1646"/>
      <c r="O18" s="1646"/>
      <c r="P18" s="1639"/>
      <c r="Q18" s="1639"/>
      <c r="R18" s="1639"/>
      <c r="S18" s="1939"/>
      <c r="T18" s="1671"/>
    </row>
    <row r="19" spans="1:20" ht="20.149999999999999" hidden="1" customHeight="1">
      <c r="A19" s="1767"/>
      <c r="B19" s="1769"/>
      <c r="C19" s="1957"/>
      <c r="D19" s="659" t="s">
        <v>2821</v>
      </c>
      <c r="E19" s="734"/>
      <c r="F19" s="734"/>
      <c r="G19" s="734"/>
      <c r="H19" s="803" t="e">
        <f t="shared" si="3"/>
        <v>#DIV/0!</v>
      </c>
      <c r="I19" s="1114"/>
      <c r="J19" s="1763"/>
      <c r="K19" s="1699"/>
      <c r="L19" s="1639"/>
      <c r="M19" s="638"/>
      <c r="N19" s="638"/>
      <c r="O19" s="638"/>
      <c r="P19" s="1639"/>
      <c r="Q19" s="1639"/>
      <c r="R19" s="1639"/>
      <c r="S19" s="1939"/>
      <c r="T19" s="657"/>
    </row>
    <row r="20" spans="1:20" ht="27" customHeight="1">
      <c r="A20" s="1767"/>
      <c r="B20" s="1769"/>
      <c r="C20" s="1957"/>
      <c r="D20" s="659" t="s">
        <v>1349</v>
      </c>
      <c r="E20" s="734">
        <f>SUM(E26,E33)</f>
        <v>23.091999999999999</v>
      </c>
      <c r="F20" s="734">
        <f t="shared" ref="F20:G20" si="6">SUM(F26,F33)</f>
        <v>23.091999999999999</v>
      </c>
      <c r="G20" s="734">
        <f t="shared" si="6"/>
        <v>23.091999999999999</v>
      </c>
      <c r="H20" s="1156">
        <f t="shared" si="3"/>
        <v>1</v>
      </c>
      <c r="I20" s="1114">
        <f>SUM(I26,I33)</f>
        <v>23.78</v>
      </c>
      <c r="J20" s="1763"/>
      <c r="K20" s="1699"/>
      <c r="L20" s="1639"/>
      <c r="M20" s="1637" t="s">
        <v>3099</v>
      </c>
      <c r="N20" s="1637" t="s">
        <v>2900</v>
      </c>
      <c r="O20" s="1637" t="s">
        <v>3361</v>
      </c>
      <c r="P20" s="1639"/>
      <c r="Q20" s="1639"/>
      <c r="R20" s="1639"/>
      <c r="S20" s="1939"/>
      <c r="T20" s="1665" t="s">
        <v>3545</v>
      </c>
    </row>
    <row r="21" spans="1:20" ht="20.149999999999999" hidden="1" customHeight="1">
      <c r="A21" s="1767"/>
      <c r="B21" s="1769"/>
      <c r="C21" s="1957"/>
      <c r="D21" s="659" t="s">
        <v>587</v>
      </c>
      <c r="E21" s="734">
        <f>SUM(E27,E34)</f>
        <v>0</v>
      </c>
      <c r="F21" s="734"/>
      <c r="G21" s="734"/>
      <c r="H21" s="1156" t="e">
        <f t="shared" si="3"/>
        <v>#DIV/0!</v>
      </c>
      <c r="I21" s="1114">
        <f>SUM(I27,I34)</f>
        <v>0</v>
      </c>
      <c r="J21" s="1763"/>
      <c r="K21" s="1699"/>
      <c r="L21" s="1639"/>
      <c r="M21" s="1638"/>
      <c r="N21" s="1638"/>
      <c r="O21" s="1638"/>
      <c r="P21" s="1639"/>
      <c r="Q21" s="1639"/>
      <c r="R21" s="1639"/>
      <c r="S21" s="1939"/>
      <c r="T21" s="1666"/>
    </row>
    <row r="22" spans="1:20" ht="20.149999999999999" customHeight="1">
      <c r="A22" s="1803"/>
      <c r="B22" s="1736"/>
      <c r="C22" s="1737"/>
      <c r="D22" s="656" t="s">
        <v>976</v>
      </c>
      <c r="E22" s="734">
        <f>SUM(E28,E35)</f>
        <v>0</v>
      </c>
      <c r="F22" s="734">
        <f>F28+F35+F58</f>
        <v>140.953</v>
      </c>
      <c r="G22" s="734">
        <f>G28+G35+G58</f>
        <v>104.471</v>
      </c>
      <c r="H22" s="1156">
        <f t="shared" si="3"/>
        <v>0.74117613672642657</v>
      </c>
      <c r="I22" s="1114">
        <f>SUM(I28,I35)</f>
        <v>16</v>
      </c>
      <c r="J22" s="1763"/>
      <c r="K22" s="1699"/>
      <c r="L22" s="1646"/>
      <c r="M22" s="1638"/>
      <c r="N22" s="1638"/>
      <c r="O22" s="1638"/>
      <c r="P22" s="1646"/>
      <c r="Q22" s="1646"/>
      <c r="R22" s="1646"/>
      <c r="S22" s="1939"/>
      <c r="T22" s="1666"/>
    </row>
    <row r="23" spans="1:20" ht="37.950000000000003" customHeight="1">
      <c r="A23" s="1803"/>
      <c r="B23" s="1736"/>
      <c r="C23" s="1737"/>
      <c r="D23" s="705" t="s">
        <v>1321</v>
      </c>
      <c r="E23" s="905">
        <f>SUM(E17:E22)</f>
        <v>1447.662</v>
      </c>
      <c r="F23" s="905">
        <f t="shared" ref="F23:G23" si="7">SUM(F17:F22)</f>
        <v>1569.2850000000001</v>
      </c>
      <c r="G23" s="905">
        <f t="shared" si="7"/>
        <v>1466.2349999999999</v>
      </c>
      <c r="H23" s="1110">
        <f>G23/F23</f>
        <v>0.93433315172196241</v>
      </c>
      <c r="I23" s="1157">
        <f>SUM(I17:I22)</f>
        <v>1576.0289999999998</v>
      </c>
      <c r="J23" s="1788"/>
      <c r="K23" s="1699"/>
      <c r="L23" s="1646"/>
      <c r="M23" s="1639"/>
      <c r="N23" s="1639"/>
      <c r="O23" s="1639"/>
      <c r="P23" s="1646"/>
      <c r="Q23" s="1646"/>
      <c r="R23" s="1646"/>
      <c r="S23" s="1930"/>
      <c r="T23" s="1671"/>
    </row>
    <row r="24" spans="1:20" ht="20.149999999999999" hidden="1" customHeight="1">
      <c r="A24" s="1940"/>
      <c r="B24" s="1823" t="s">
        <v>1402</v>
      </c>
      <c r="C24" s="1942" t="s">
        <v>1546</v>
      </c>
      <c r="D24" s="962" t="s">
        <v>668</v>
      </c>
      <c r="E24" s="537">
        <v>375.84</v>
      </c>
      <c r="F24" s="537">
        <v>375.02499999999998</v>
      </c>
      <c r="G24" s="537">
        <v>364.26799999999997</v>
      </c>
      <c r="H24" s="1159">
        <f t="shared" ref="H24:H91" si="8">G24/F24</f>
        <v>0.97131657889474032</v>
      </c>
      <c r="I24" s="541">
        <v>391.29</v>
      </c>
      <c r="J24" s="911"/>
      <c r="K24" s="1944" t="s">
        <v>1758</v>
      </c>
      <c r="L24" s="1823"/>
      <c r="M24" s="1822"/>
      <c r="N24" s="1822"/>
      <c r="O24" s="1822"/>
      <c r="P24" s="1928" t="s">
        <v>1538</v>
      </c>
      <c r="Q24" s="1928" t="s">
        <v>1538</v>
      </c>
      <c r="R24" s="1928" t="s">
        <v>1538</v>
      </c>
      <c r="S24" s="1160"/>
      <c r="T24" s="1921"/>
    </row>
    <row r="25" spans="1:20" ht="20.149999999999999" hidden="1" customHeight="1">
      <c r="A25" s="1941"/>
      <c r="B25" s="1927"/>
      <c r="C25" s="1943"/>
      <c r="D25" s="962" t="s">
        <v>1549</v>
      </c>
      <c r="E25" s="537">
        <v>1.2</v>
      </c>
      <c r="F25" s="537">
        <v>1.83</v>
      </c>
      <c r="G25" s="537">
        <v>1.714</v>
      </c>
      <c r="H25" s="1159">
        <f t="shared" si="8"/>
        <v>0.93661202185792347</v>
      </c>
      <c r="I25" s="541">
        <v>1.4</v>
      </c>
      <c r="J25" s="911"/>
      <c r="K25" s="1944"/>
      <c r="L25" s="1927"/>
      <c r="M25" s="1945"/>
      <c r="N25" s="1945"/>
      <c r="O25" s="1945"/>
      <c r="P25" s="1929"/>
      <c r="Q25" s="1929"/>
      <c r="R25" s="1929"/>
      <c r="S25" s="1160"/>
      <c r="T25" s="1922"/>
    </row>
    <row r="26" spans="1:20" ht="20.149999999999999" hidden="1" customHeight="1">
      <c r="A26" s="1941"/>
      <c r="B26" s="1927"/>
      <c r="C26" s="1943"/>
      <c r="D26" s="962" t="s">
        <v>1349</v>
      </c>
      <c r="E26" s="537">
        <v>23.091999999999999</v>
      </c>
      <c r="F26" s="537">
        <v>23.091999999999999</v>
      </c>
      <c r="G26" s="537">
        <v>23.091999999999999</v>
      </c>
      <c r="H26" s="1159">
        <f t="shared" si="8"/>
        <v>1</v>
      </c>
      <c r="I26" s="541">
        <v>23.78</v>
      </c>
      <c r="J26" s="911"/>
      <c r="K26" s="1944"/>
      <c r="L26" s="1927"/>
      <c r="M26" s="1945"/>
      <c r="N26" s="1945"/>
      <c r="O26" s="1945"/>
      <c r="P26" s="1929"/>
      <c r="Q26" s="1929"/>
      <c r="R26" s="1929"/>
      <c r="S26" s="1160"/>
      <c r="T26" s="1922"/>
    </row>
    <row r="27" spans="1:20" ht="20.149999999999999" hidden="1" customHeight="1">
      <c r="A27" s="1941"/>
      <c r="B27" s="1927"/>
      <c r="C27" s="1943"/>
      <c r="D27" s="962" t="s">
        <v>341</v>
      </c>
      <c r="E27" s="537"/>
      <c r="F27" s="537"/>
      <c r="G27" s="537"/>
      <c r="H27" s="1159"/>
      <c r="I27" s="541"/>
      <c r="J27" s="911"/>
      <c r="K27" s="1944"/>
      <c r="L27" s="1927"/>
      <c r="M27" s="1945"/>
      <c r="N27" s="1945"/>
      <c r="O27" s="1945"/>
      <c r="P27" s="1929"/>
      <c r="Q27" s="1929"/>
      <c r="R27" s="1929"/>
      <c r="S27" s="1160"/>
      <c r="T27" s="1922"/>
    </row>
    <row r="28" spans="1:20" ht="20.149999999999999" hidden="1" customHeight="1">
      <c r="A28" s="1941"/>
      <c r="B28" s="1927"/>
      <c r="C28" s="1943"/>
      <c r="D28" s="617" t="s">
        <v>976</v>
      </c>
      <c r="E28" s="537"/>
      <c r="F28" s="537"/>
      <c r="G28" s="859">
        <v>0.94</v>
      </c>
      <c r="H28" s="1159"/>
      <c r="I28" s="541"/>
      <c r="J28" s="911"/>
      <c r="K28" s="1944"/>
      <c r="L28" s="1927"/>
      <c r="M28" s="1945"/>
      <c r="N28" s="1945"/>
      <c r="O28" s="1945"/>
      <c r="P28" s="1929"/>
      <c r="Q28" s="1929"/>
      <c r="R28" s="1929"/>
      <c r="S28" s="1160"/>
      <c r="T28" s="1922"/>
    </row>
    <row r="29" spans="1:20" ht="20.149999999999999" hidden="1" customHeight="1">
      <c r="A29" s="1941"/>
      <c r="B29" s="1927"/>
      <c r="C29" s="1943"/>
      <c r="D29" s="1095" t="s">
        <v>1321</v>
      </c>
      <c r="E29" s="537">
        <f>SUM(E24:E28)</f>
        <v>400.13199999999995</v>
      </c>
      <c r="F29" s="537">
        <f t="shared" ref="F29:G29" si="9">SUM(F24:F28)</f>
        <v>399.94699999999995</v>
      </c>
      <c r="G29" s="537">
        <f t="shared" si="9"/>
        <v>390.01399999999995</v>
      </c>
      <c r="H29" s="1159">
        <f t="shared" si="8"/>
        <v>0.97516420925772662</v>
      </c>
      <c r="I29" s="541">
        <f t="shared" ref="I29" si="10">SUM(I24:I28)</f>
        <v>416.47</v>
      </c>
      <c r="J29" s="911"/>
      <c r="K29" s="1944"/>
      <c r="L29" s="1927"/>
      <c r="M29" s="1823"/>
      <c r="N29" s="1823"/>
      <c r="O29" s="1823"/>
      <c r="P29" s="1929"/>
      <c r="Q29" s="1929"/>
      <c r="R29" s="1929"/>
      <c r="S29" s="1160"/>
      <c r="T29" s="1923"/>
    </row>
    <row r="30" spans="1:20" ht="20.149999999999999" hidden="1" customHeight="1">
      <c r="A30" s="1940"/>
      <c r="B30" s="1823" t="s">
        <v>1403</v>
      </c>
      <c r="C30" s="1942" t="s">
        <v>1547</v>
      </c>
      <c r="D30" s="962" t="s">
        <v>668</v>
      </c>
      <c r="E30" s="537">
        <v>992.9</v>
      </c>
      <c r="F30" s="537">
        <v>987.755</v>
      </c>
      <c r="G30" s="537">
        <v>932.15</v>
      </c>
      <c r="H30" s="1159">
        <f t="shared" si="8"/>
        <v>0.94370567600265243</v>
      </c>
      <c r="I30" s="541">
        <v>1103.3589999999999</v>
      </c>
      <c r="J30" s="911"/>
      <c r="K30" s="1944" t="s">
        <v>1761</v>
      </c>
      <c r="L30" s="1823"/>
      <c r="M30" s="1822"/>
      <c r="N30" s="1822"/>
      <c r="O30" s="1822"/>
      <c r="P30" s="1928" t="s">
        <v>1538</v>
      </c>
      <c r="Q30" s="1928" t="s">
        <v>1538</v>
      </c>
      <c r="R30" s="1928" t="s">
        <v>1538</v>
      </c>
      <c r="S30" s="1160"/>
      <c r="T30" s="1921"/>
    </row>
    <row r="31" spans="1:20" ht="20.149999999999999" hidden="1" customHeight="1">
      <c r="A31" s="1941"/>
      <c r="B31" s="1927"/>
      <c r="C31" s="1943"/>
      <c r="D31" s="962" t="s">
        <v>1549</v>
      </c>
      <c r="E31" s="537">
        <v>54.63</v>
      </c>
      <c r="F31" s="537">
        <v>40.630000000000003</v>
      </c>
      <c r="G31" s="537">
        <v>40.54</v>
      </c>
      <c r="H31" s="1159">
        <f t="shared" si="8"/>
        <v>0.99778488801378284</v>
      </c>
      <c r="I31" s="541">
        <v>40.200000000000003</v>
      </c>
      <c r="J31" s="911"/>
      <c r="K31" s="1944"/>
      <c r="L31" s="1927"/>
      <c r="M31" s="1945"/>
      <c r="N31" s="1945"/>
      <c r="O31" s="1945"/>
      <c r="P31" s="1929"/>
      <c r="Q31" s="1929"/>
      <c r="R31" s="1929"/>
      <c r="S31" s="1160"/>
      <c r="T31" s="1922"/>
    </row>
    <row r="32" spans="1:20" ht="20.149999999999999" hidden="1" customHeight="1">
      <c r="A32" s="1941"/>
      <c r="B32" s="1927"/>
      <c r="C32" s="1943"/>
      <c r="D32" s="962" t="s">
        <v>2753</v>
      </c>
      <c r="E32" s="537">
        <v>54.63</v>
      </c>
      <c r="F32" s="537"/>
      <c r="G32" s="537"/>
      <c r="H32" s="1159"/>
      <c r="I32" s="541">
        <v>40.200000000000003</v>
      </c>
      <c r="J32" s="911"/>
      <c r="K32" s="1944"/>
      <c r="L32" s="1927"/>
      <c r="M32" s="1945"/>
      <c r="N32" s="1945"/>
      <c r="O32" s="1945"/>
      <c r="P32" s="1929"/>
      <c r="Q32" s="1929"/>
      <c r="R32" s="1929"/>
      <c r="S32" s="1160"/>
      <c r="T32" s="1922"/>
    </row>
    <row r="33" spans="1:32" ht="20.149999999999999" hidden="1" customHeight="1">
      <c r="A33" s="1941"/>
      <c r="B33" s="1927"/>
      <c r="C33" s="1943"/>
      <c r="D33" s="962" t="s">
        <v>587</v>
      </c>
      <c r="E33" s="541"/>
      <c r="F33" s="541"/>
      <c r="G33" s="541"/>
      <c r="H33" s="1159"/>
      <c r="I33" s="541"/>
      <c r="J33" s="911"/>
      <c r="K33" s="1944"/>
      <c r="L33" s="1927"/>
      <c r="M33" s="1945"/>
      <c r="N33" s="1945"/>
      <c r="O33" s="1945"/>
      <c r="P33" s="1929"/>
      <c r="Q33" s="1929"/>
      <c r="R33" s="1929"/>
      <c r="S33" s="1160"/>
      <c r="T33" s="1922"/>
    </row>
    <row r="34" spans="1:32" ht="20.149999999999999" hidden="1" customHeight="1">
      <c r="A34" s="1941"/>
      <c r="B34" s="1927"/>
      <c r="C34" s="1943"/>
      <c r="D34" s="962" t="s">
        <v>341</v>
      </c>
      <c r="E34" s="541"/>
      <c r="F34" s="541"/>
      <c r="G34" s="541"/>
      <c r="H34" s="1159"/>
      <c r="I34" s="541"/>
      <c r="J34" s="911"/>
      <c r="K34" s="1944"/>
      <c r="L34" s="1927"/>
      <c r="M34" s="1945"/>
      <c r="N34" s="1945"/>
      <c r="O34" s="1945"/>
      <c r="P34" s="1929"/>
      <c r="Q34" s="1929"/>
      <c r="R34" s="1929"/>
      <c r="S34" s="1160"/>
      <c r="T34" s="1922"/>
    </row>
    <row r="35" spans="1:32" ht="20.149999999999999" hidden="1" customHeight="1">
      <c r="A35" s="1941"/>
      <c r="B35" s="1927"/>
      <c r="C35" s="1943"/>
      <c r="D35" s="617" t="s">
        <v>976</v>
      </c>
      <c r="E35" s="541"/>
      <c r="F35" s="859">
        <v>63.2</v>
      </c>
      <c r="G35" s="859">
        <v>31.196999999999999</v>
      </c>
      <c r="H35" s="1159"/>
      <c r="I35" s="541">
        <v>16</v>
      </c>
      <c r="J35" s="911"/>
      <c r="K35" s="1944"/>
      <c r="L35" s="1927"/>
      <c r="M35" s="1945"/>
      <c r="N35" s="1945"/>
      <c r="O35" s="1945"/>
      <c r="P35" s="1929"/>
      <c r="Q35" s="1929"/>
      <c r="R35" s="1929"/>
      <c r="S35" s="1160"/>
      <c r="T35" s="1922"/>
    </row>
    <row r="36" spans="1:32" ht="20.149999999999999" hidden="1" customHeight="1">
      <c r="A36" s="1941"/>
      <c r="B36" s="1927"/>
      <c r="C36" s="1943"/>
      <c r="D36" s="1095" t="s">
        <v>1321</v>
      </c>
      <c r="E36" s="1007">
        <f>SUM(E30:E35)</f>
        <v>1102.1600000000001</v>
      </c>
      <c r="F36" s="1007">
        <f>SUM(F30:F35)</f>
        <v>1091.585</v>
      </c>
      <c r="G36" s="1007">
        <f t="shared" ref="G36" si="11">SUM(G30:G35)</f>
        <v>1003.8869999999999</v>
      </c>
      <c r="H36" s="1159">
        <f t="shared" si="8"/>
        <v>0.91965994402634688</v>
      </c>
      <c r="I36" s="1096">
        <f t="shared" ref="I36" si="12">SUM(I30:I35)</f>
        <v>1199.759</v>
      </c>
      <c r="J36" s="911"/>
      <c r="K36" s="1944"/>
      <c r="L36" s="1927"/>
      <c r="M36" s="1823"/>
      <c r="N36" s="1823"/>
      <c r="O36" s="1823"/>
      <c r="P36" s="1929"/>
      <c r="Q36" s="1929"/>
      <c r="R36" s="1929"/>
      <c r="S36" s="1160"/>
      <c r="T36" s="1923"/>
    </row>
    <row r="37" spans="1:32" ht="37.950000000000003" customHeight="1">
      <c r="A37" s="1767" t="s">
        <v>1986</v>
      </c>
      <c r="B37" s="1769" t="s">
        <v>1384</v>
      </c>
      <c r="C37" s="1957" t="s">
        <v>1401</v>
      </c>
      <c r="D37" s="659" t="s">
        <v>668</v>
      </c>
      <c r="E37" s="734">
        <v>76</v>
      </c>
      <c r="F37" s="734">
        <v>76</v>
      </c>
      <c r="G37" s="734">
        <v>75.222999999999999</v>
      </c>
      <c r="H37" s="1141">
        <f t="shared" si="8"/>
        <v>0.98977631578947367</v>
      </c>
      <c r="I37" s="1114">
        <v>169.67</v>
      </c>
      <c r="J37" s="1762" t="s">
        <v>2227</v>
      </c>
      <c r="K37" s="1699" t="s">
        <v>3641</v>
      </c>
      <c r="L37" s="1646" t="s">
        <v>604</v>
      </c>
      <c r="M37" s="1646" t="s">
        <v>3101</v>
      </c>
      <c r="N37" s="1646" t="s">
        <v>449</v>
      </c>
      <c r="O37" s="1646" t="s">
        <v>3123</v>
      </c>
      <c r="P37" s="1646" t="s">
        <v>1538</v>
      </c>
      <c r="Q37" s="1646" t="s">
        <v>1538</v>
      </c>
      <c r="R37" s="1646" t="s">
        <v>1538</v>
      </c>
      <c r="S37" s="1924" t="s">
        <v>2228</v>
      </c>
      <c r="T37" s="1665" t="s">
        <v>3545</v>
      </c>
      <c r="AF37" s="374" t="s">
        <v>2523</v>
      </c>
    </row>
    <row r="38" spans="1:32" ht="51" customHeight="1">
      <c r="A38" s="1765"/>
      <c r="B38" s="1956"/>
      <c r="C38" s="1958"/>
      <c r="D38" s="757" t="s">
        <v>1321</v>
      </c>
      <c r="E38" s="731">
        <f>E37</f>
        <v>76</v>
      </c>
      <c r="F38" s="731">
        <f t="shared" ref="F38:G38" si="13">F37</f>
        <v>76</v>
      </c>
      <c r="G38" s="731">
        <f t="shared" si="13"/>
        <v>75.222999999999999</v>
      </c>
      <c r="H38" s="1110">
        <f t="shared" si="8"/>
        <v>0.98977631578947367</v>
      </c>
      <c r="I38" s="1097">
        <f t="shared" ref="I38" si="14">I37</f>
        <v>169.67</v>
      </c>
      <c r="J38" s="1788"/>
      <c r="K38" s="1700"/>
      <c r="L38" s="1646"/>
      <c r="M38" s="1646"/>
      <c r="N38" s="1646"/>
      <c r="O38" s="1646"/>
      <c r="P38" s="1646"/>
      <c r="Q38" s="1646"/>
      <c r="R38" s="1646"/>
      <c r="S38" s="1930"/>
      <c r="T38" s="1671"/>
    </row>
    <row r="39" spans="1:32" ht="48" hidden="1" customHeight="1">
      <c r="A39" s="1066"/>
      <c r="B39" s="1098"/>
      <c r="C39" s="1162"/>
      <c r="D39" s="1099"/>
      <c r="E39" s="1100"/>
      <c r="F39" s="1101"/>
      <c r="G39" s="1101"/>
      <c r="H39" s="1141" t="e">
        <f t="shared" si="8"/>
        <v>#DIV/0!</v>
      </c>
      <c r="I39" s="1100"/>
      <c r="J39" s="1163"/>
      <c r="K39" s="1522" t="s">
        <v>2554</v>
      </c>
      <c r="L39" s="1102"/>
      <c r="M39" s="1103"/>
      <c r="N39" s="1103"/>
      <c r="O39" s="1103"/>
      <c r="P39" s="833"/>
      <c r="Q39" s="833"/>
      <c r="R39" s="833"/>
      <c r="S39" s="1164"/>
      <c r="T39" s="657"/>
    </row>
    <row r="40" spans="1:32" s="449" customFormat="1" ht="110.25" customHeight="1">
      <c r="A40" s="469" t="s">
        <v>1987</v>
      </c>
      <c r="B40" s="689" t="s">
        <v>1988</v>
      </c>
      <c r="C40" s="1104"/>
      <c r="D40" s="501"/>
      <c r="E40" s="502">
        <f>SUM(E42,E46,E49,E53)</f>
        <v>22.4</v>
      </c>
      <c r="F40" s="502">
        <f>SUM(F42,F46,F49,F53)</f>
        <v>21.888999999999999</v>
      </c>
      <c r="G40" s="502">
        <f>SUM(G42,G46,G49,G53)</f>
        <v>21.816000000000003</v>
      </c>
      <c r="H40" s="1105">
        <f t="shared" si="8"/>
        <v>0.99666499154826638</v>
      </c>
      <c r="I40" s="698">
        <f>SUM(I42,I46,I49,I53)</f>
        <v>54.521999999999998</v>
      </c>
      <c r="J40" s="694" t="s">
        <v>1160</v>
      </c>
      <c r="K40" s="1653"/>
      <c r="L40" s="1654"/>
      <c r="M40" s="1654"/>
      <c r="N40" s="1654"/>
      <c r="O40" s="1654"/>
      <c r="P40" s="1654"/>
      <c r="Q40" s="1654"/>
      <c r="R40" s="1654"/>
      <c r="S40" s="1654"/>
      <c r="T40" s="1919"/>
    </row>
    <row r="41" spans="1:32" ht="25.95" customHeight="1">
      <c r="A41" s="1803" t="s">
        <v>1989</v>
      </c>
      <c r="B41" s="1889" t="s">
        <v>1385</v>
      </c>
      <c r="C41" s="1935" t="s">
        <v>1325</v>
      </c>
      <c r="D41" s="724" t="s">
        <v>668</v>
      </c>
      <c r="E41" s="701">
        <f>SUM(E43:E44)</f>
        <v>12</v>
      </c>
      <c r="F41" s="701">
        <f>SUM(F43:F44)</f>
        <v>11.489000000000001</v>
      </c>
      <c r="G41" s="701">
        <f>SUM(G43:G44)</f>
        <v>11.487</v>
      </c>
      <c r="H41" s="1141">
        <f t="shared" si="8"/>
        <v>0.99982592044564356</v>
      </c>
      <c r="I41" s="810">
        <f>SUM(I43:I44)</f>
        <v>23.751999999999999</v>
      </c>
      <c r="J41" s="1762" t="s">
        <v>2229</v>
      </c>
      <c r="K41" s="1640" t="s">
        <v>3770</v>
      </c>
      <c r="L41" s="1639" t="s">
        <v>204</v>
      </c>
      <c r="M41" s="1925" t="s">
        <v>3769</v>
      </c>
      <c r="N41" s="1938" t="s">
        <v>1540</v>
      </c>
      <c r="O41" s="1938" t="s">
        <v>1540</v>
      </c>
      <c r="P41" s="1925" t="s">
        <v>1540</v>
      </c>
      <c r="Q41" s="1925" t="s">
        <v>1540</v>
      </c>
      <c r="R41" s="1925" t="s">
        <v>1540</v>
      </c>
      <c r="S41" s="1637" t="s">
        <v>2230</v>
      </c>
      <c r="T41" s="1665" t="s">
        <v>3548</v>
      </c>
    </row>
    <row r="42" spans="1:32" ht="32.5" customHeight="1">
      <c r="A42" s="1765"/>
      <c r="B42" s="1889"/>
      <c r="C42" s="1935"/>
      <c r="D42" s="727" t="s">
        <v>1321</v>
      </c>
      <c r="E42" s="706">
        <f>E41</f>
        <v>12</v>
      </c>
      <c r="F42" s="706">
        <f t="shared" ref="F42:G42" si="15">F41</f>
        <v>11.489000000000001</v>
      </c>
      <c r="G42" s="706">
        <f t="shared" si="15"/>
        <v>11.487</v>
      </c>
      <c r="H42" s="1110">
        <f t="shared" si="8"/>
        <v>0.99982592044564356</v>
      </c>
      <c r="I42" s="1106">
        <f>SUM(I41)</f>
        <v>23.751999999999999</v>
      </c>
      <c r="J42" s="1788"/>
      <c r="K42" s="1708"/>
      <c r="L42" s="1646"/>
      <c r="M42" s="1926"/>
      <c r="N42" s="1925"/>
      <c r="O42" s="1925"/>
      <c r="P42" s="1926"/>
      <c r="Q42" s="1926"/>
      <c r="R42" s="1926"/>
      <c r="S42" s="1639"/>
      <c r="T42" s="1671"/>
    </row>
    <row r="43" spans="1:32" ht="32.25" hidden="1" customHeight="1">
      <c r="A43" s="613"/>
      <c r="B43" s="1107" t="s">
        <v>1551</v>
      </c>
      <c r="C43" s="1165"/>
      <c r="D43" s="806"/>
      <c r="E43" s="537">
        <v>1</v>
      </c>
      <c r="F43" s="538">
        <v>0.48899999999999999</v>
      </c>
      <c r="G43" s="538">
        <v>0.48799999999999999</v>
      </c>
      <c r="H43" s="1159"/>
      <c r="I43" s="541">
        <v>5</v>
      </c>
      <c r="J43" s="911"/>
      <c r="K43" s="1517" t="s">
        <v>1759</v>
      </c>
      <c r="L43" s="1108"/>
      <c r="M43" s="966"/>
      <c r="N43" s="1109"/>
      <c r="O43" s="1109"/>
      <c r="P43" s="533" t="s">
        <v>1531</v>
      </c>
      <c r="Q43" s="533" t="s">
        <v>1531</v>
      </c>
      <c r="R43" s="533" t="s">
        <v>1531</v>
      </c>
      <c r="S43" s="483"/>
      <c r="T43" s="720"/>
    </row>
    <row r="44" spans="1:32" ht="33.75" hidden="1" customHeight="1">
      <c r="A44" s="613"/>
      <c r="B44" s="1107" t="s">
        <v>1553</v>
      </c>
      <c r="C44" s="1165"/>
      <c r="D44" s="806"/>
      <c r="E44" s="537">
        <v>11</v>
      </c>
      <c r="F44" s="538">
        <v>11</v>
      </c>
      <c r="G44" s="538">
        <v>10.999000000000001</v>
      </c>
      <c r="H44" s="1159"/>
      <c r="I44" s="541">
        <v>18.751999999999999</v>
      </c>
      <c r="J44" s="911"/>
      <c r="K44" s="1517" t="s">
        <v>1904</v>
      </c>
      <c r="L44" s="1108"/>
      <c r="M44" s="966"/>
      <c r="N44" s="1109"/>
      <c r="O44" s="1109"/>
      <c r="P44" s="533" t="s">
        <v>1531</v>
      </c>
      <c r="Q44" s="533" t="s">
        <v>1531</v>
      </c>
      <c r="R44" s="533" t="s">
        <v>1531</v>
      </c>
      <c r="S44" s="483"/>
      <c r="T44" s="720"/>
    </row>
    <row r="45" spans="1:32" ht="54" customHeight="1">
      <c r="A45" s="1767" t="s">
        <v>1990</v>
      </c>
      <c r="B45" s="1889" t="s">
        <v>1386</v>
      </c>
      <c r="C45" s="1935">
        <v>300509331</v>
      </c>
      <c r="D45" s="724" t="s">
        <v>668</v>
      </c>
      <c r="E45" s="701">
        <f>SUM(E47:E47)</f>
        <v>1.5</v>
      </c>
      <c r="F45" s="701">
        <f>SUM(F47:F47)</f>
        <v>1.5</v>
      </c>
      <c r="G45" s="701">
        <f>SUM(G47:G47)</f>
        <v>1.4990000000000001</v>
      </c>
      <c r="H45" s="1141">
        <f t="shared" si="8"/>
        <v>0.99933333333333341</v>
      </c>
      <c r="I45" s="810">
        <f>SUM(I47:I47)</f>
        <v>16.3</v>
      </c>
      <c r="J45" s="1762" t="s">
        <v>2229</v>
      </c>
      <c r="K45" s="1699" t="s">
        <v>3771</v>
      </c>
      <c r="L45" s="1639" t="s">
        <v>655</v>
      </c>
      <c r="M45" s="1646" t="s">
        <v>1539</v>
      </c>
      <c r="N45" s="1646" t="s">
        <v>1531</v>
      </c>
      <c r="O45" s="1646" t="s">
        <v>1531</v>
      </c>
      <c r="P45" s="1637" t="s">
        <v>566</v>
      </c>
      <c r="Q45" s="1637" t="s">
        <v>566</v>
      </c>
      <c r="R45" s="1637" t="s">
        <v>566</v>
      </c>
      <c r="S45" s="1637" t="s">
        <v>2230</v>
      </c>
      <c r="T45" s="1665" t="s">
        <v>3548</v>
      </c>
    </row>
    <row r="46" spans="1:32" ht="39.75" customHeight="1">
      <c r="A46" s="1803"/>
      <c r="B46" s="1890"/>
      <c r="C46" s="1936"/>
      <c r="D46" s="730" t="s">
        <v>1321</v>
      </c>
      <c r="E46" s="731">
        <f>E45</f>
        <v>1.5</v>
      </c>
      <c r="F46" s="731">
        <f t="shared" ref="F46:G46" si="16">F45</f>
        <v>1.5</v>
      </c>
      <c r="G46" s="731">
        <f t="shared" si="16"/>
        <v>1.4990000000000001</v>
      </c>
      <c r="H46" s="1110">
        <f t="shared" si="8"/>
        <v>0.99933333333333341</v>
      </c>
      <c r="I46" s="1097">
        <f>I45</f>
        <v>16.3</v>
      </c>
      <c r="J46" s="1763"/>
      <c r="K46" s="1700"/>
      <c r="L46" s="1646"/>
      <c r="M46" s="1646"/>
      <c r="N46" s="1646"/>
      <c r="O46" s="1646"/>
      <c r="P46" s="1638"/>
      <c r="Q46" s="1638"/>
      <c r="R46" s="1638"/>
      <c r="S46" s="1638"/>
      <c r="T46" s="1671"/>
    </row>
    <row r="47" spans="1:32" ht="27.75" hidden="1" customHeight="1">
      <c r="A47" s="505"/>
      <c r="B47" s="1111" t="s">
        <v>1551</v>
      </c>
      <c r="C47" s="722"/>
      <c r="D47" s="1112"/>
      <c r="E47" s="537">
        <v>1.5</v>
      </c>
      <c r="F47" s="537">
        <v>1.5</v>
      </c>
      <c r="G47" s="537">
        <v>1.4990000000000001</v>
      </c>
      <c r="H47" s="1159">
        <f t="shared" si="8"/>
        <v>0.99933333333333341</v>
      </c>
      <c r="I47" s="534">
        <v>16.3</v>
      </c>
      <c r="J47" s="720"/>
      <c r="K47" s="1523"/>
      <c r="L47" s="1113"/>
      <c r="M47" s="1123"/>
      <c r="N47" s="1123"/>
      <c r="O47" s="1123"/>
      <c r="P47" s="1638"/>
      <c r="Q47" s="1638"/>
      <c r="R47" s="1638"/>
      <c r="S47" s="1638"/>
      <c r="T47" s="720"/>
    </row>
    <row r="48" spans="1:32" ht="31.95" customHeight="1">
      <c r="A48" s="1803" t="s">
        <v>1991</v>
      </c>
      <c r="B48" s="1889" t="s">
        <v>1387</v>
      </c>
      <c r="C48" s="1935">
        <v>300509331</v>
      </c>
      <c r="D48" s="724" t="s">
        <v>668</v>
      </c>
      <c r="E48" s="734">
        <f>SUM(E50:E51)</f>
        <v>7.5</v>
      </c>
      <c r="F48" s="734">
        <f t="shared" ref="F48:G48" si="17">SUM(F50:F51)</f>
        <v>7.5</v>
      </c>
      <c r="G48" s="734">
        <f t="shared" si="17"/>
        <v>7.5</v>
      </c>
      <c r="H48" s="1141">
        <f t="shared" si="8"/>
        <v>1</v>
      </c>
      <c r="I48" s="1114">
        <f>SUM(I50:I51)</f>
        <v>10.74</v>
      </c>
      <c r="J48" s="1763" t="s">
        <v>2229</v>
      </c>
      <c r="K48" s="1641" t="s">
        <v>3772</v>
      </c>
      <c r="L48" s="1639" t="s">
        <v>128</v>
      </c>
      <c r="M48" s="1646" t="s">
        <v>1539</v>
      </c>
      <c r="N48" s="1646" t="s">
        <v>1531</v>
      </c>
      <c r="O48" s="1646" t="s">
        <v>1531</v>
      </c>
      <c r="P48" s="1638"/>
      <c r="Q48" s="1638"/>
      <c r="R48" s="1638"/>
      <c r="S48" s="1638"/>
      <c r="T48" s="1665" t="s">
        <v>3548</v>
      </c>
    </row>
    <row r="49" spans="1:20" ht="36" customHeight="1">
      <c r="A49" s="1765"/>
      <c r="B49" s="1890"/>
      <c r="C49" s="1936"/>
      <c r="D49" s="730" t="s">
        <v>1321</v>
      </c>
      <c r="E49" s="731">
        <f>E48</f>
        <v>7.5</v>
      </c>
      <c r="F49" s="731">
        <f t="shared" ref="F49:G49" si="18">F48</f>
        <v>7.5</v>
      </c>
      <c r="G49" s="731">
        <f t="shared" si="18"/>
        <v>7.5</v>
      </c>
      <c r="H49" s="1110">
        <f t="shared" si="8"/>
        <v>1</v>
      </c>
      <c r="I49" s="1097">
        <f>I48</f>
        <v>10.74</v>
      </c>
      <c r="J49" s="1788"/>
      <c r="K49" s="1700"/>
      <c r="L49" s="1646"/>
      <c r="M49" s="1646"/>
      <c r="N49" s="1646"/>
      <c r="O49" s="1646"/>
      <c r="P49" s="1638"/>
      <c r="Q49" s="1638"/>
      <c r="R49" s="1638"/>
      <c r="S49" s="1638"/>
      <c r="T49" s="1671"/>
    </row>
    <row r="50" spans="1:20" ht="25.95" hidden="1" customHeight="1">
      <c r="A50" s="504"/>
      <c r="B50" s="799" t="s">
        <v>1551</v>
      </c>
      <c r="C50" s="1166"/>
      <c r="D50" s="770"/>
      <c r="E50" s="956">
        <v>7.5</v>
      </c>
      <c r="F50" s="464">
        <v>7.5</v>
      </c>
      <c r="G50" s="464">
        <v>7.5</v>
      </c>
      <c r="H50" s="1167">
        <f t="shared" si="8"/>
        <v>1</v>
      </c>
      <c r="I50" s="1115">
        <v>10.14</v>
      </c>
      <c r="J50" s="883"/>
      <c r="K50" s="1524"/>
      <c r="L50" s="1113"/>
      <c r="M50" s="1123"/>
      <c r="N50" s="1123"/>
      <c r="O50" s="1123"/>
      <c r="P50" s="1638"/>
      <c r="Q50" s="1638"/>
      <c r="R50" s="1638"/>
      <c r="S50" s="1638"/>
      <c r="T50" s="720"/>
    </row>
    <row r="51" spans="1:20" ht="27" hidden="1" customHeight="1">
      <c r="A51" s="504"/>
      <c r="B51" s="799" t="s">
        <v>1552</v>
      </c>
      <c r="C51" s="1166"/>
      <c r="D51" s="770"/>
      <c r="E51" s="1116"/>
      <c r="F51" s="974"/>
      <c r="G51" s="974"/>
      <c r="H51" s="1141" t="e">
        <f t="shared" si="8"/>
        <v>#DIV/0!</v>
      </c>
      <c r="I51" s="1115">
        <v>0.6</v>
      </c>
      <c r="J51" s="883"/>
      <c r="K51" s="1523" t="s">
        <v>1905</v>
      </c>
      <c r="L51" s="1113"/>
      <c r="M51" s="1168"/>
      <c r="N51" s="1168"/>
      <c r="O51" s="1168"/>
      <c r="P51" s="1638"/>
      <c r="Q51" s="1638"/>
      <c r="R51" s="1638"/>
      <c r="S51" s="1638"/>
      <c r="T51" s="657"/>
    </row>
    <row r="52" spans="1:20" ht="27" customHeight="1">
      <c r="A52" s="1816" t="s">
        <v>1992</v>
      </c>
      <c r="B52" s="1757" t="s">
        <v>1388</v>
      </c>
      <c r="C52" s="1969">
        <v>300509331</v>
      </c>
      <c r="D52" s="657" t="s">
        <v>668</v>
      </c>
      <c r="E52" s="701">
        <v>1.4</v>
      </c>
      <c r="F52" s="734">
        <v>1.4</v>
      </c>
      <c r="G52" s="734">
        <v>1.33</v>
      </c>
      <c r="H52" s="1141">
        <f t="shared" si="8"/>
        <v>0.95000000000000007</v>
      </c>
      <c r="I52" s="810">
        <f>SUM(I54:I55)</f>
        <v>3.73</v>
      </c>
      <c r="J52" s="1762" t="s">
        <v>2229</v>
      </c>
      <c r="K52" s="1699" t="s">
        <v>3773</v>
      </c>
      <c r="L52" s="1639" t="s">
        <v>179</v>
      </c>
      <c r="M52" s="1646" t="s">
        <v>3774</v>
      </c>
      <c r="N52" s="1637" t="s">
        <v>1014</v>
      </c>
      <c r="O52" s="1637" t="s">
        <v>1014</v>
      </c>
      <c r="P52" s="1638"/>
      <c r="Q52" s="1638"/>
      <c r="R52" s="1638"/>
      <c r="S52" s="1638"/>
      <c r="T52" s="1665" t="s">
        <v>3548</v>
      </c>
    </row>
    <row r="53" spans="1:20" ht="48" customHeight="1">
      <c r="A53" s="1816"/>
      <c r="B53" s="1757"/>
      <c r="C53" s="1969"/>
      <c r="D53" s="705" t="s">
        <v>1321</v>
      </c>
      <c r="E53" s="706">
        <f>E52</f>
        <v>1.4</v>
      </c>
      <c r="F53" s="706">
        <f t="shared" ref="F53:G53" si="19">F52</f>
        <v>1.4</v>
      </c>
      <c r="G53" s="706">
        <f t="shared" si="19"/>
        <v>1.33</v>
      </c>
      <c r="H53" s="1110">
        <f t="shared" si="8"/>
        <v>0.95000000000000007</v>
      </c>
      <c r="I53" s="1106">
        <f>I52</f>
        <v>3.73</v>
      </c>
      <c r="J53" s="1788"/>
      <c r="K53" s="1700"/>
      <c r="L53" s="1646"/>
      <c r="M53" s="1646"/>
      <c r="N53" s="1639"/>
      <c r="O53" s="1639"/>
      <c r="P53" s="1639"/>
      <c r="Q53" s="1639"/>
      <c r="R53" s="1639"/>
      <c r="S53" s="1639"/>
      <c r="T53" s="1671"/>
    </row>
    <row r="54" spans="1:20" ht="25.5" hidden="1" customHeight="1">
      <c r="A54" s="504"/>
      <c r="B54" s="921" t="s">
        <v>1551</v>
      </c>
      <c r="C54" s="1169"/>
      <c r="D54" s="1095"/>
      <c r="E54" s="537">
        <v>1.4</v>
      </c>
      <c r="F54" s="537">
        <v>1.4</v>
      </c>
      <c r="G54" s="537">
        <v>1.33</v>
      </c>
      <c r="H54" s="1117">
        <f t="shared" si="8"/>
        <v>0.95000000000000007</v>
      </c>
      <c r="I54" s="1115">
        <v>1.73</v>
      </c>
      <c r="J54" s="720"/>
      <c r="K54" s="1495"/>
      <c r="L54" s="1118"/>
      <c r="M54" s="1118"/>
      <c r="N54" s="1118"/>
      <c r="O54" s="1118"/>
      <c r="P54" s="797"/>
      <c r="Q54" s="797"/>
      <c r="R54" s="797"/>
      <c r="S54" s="483"/>
      <c r="T54" s="720"/>
    </row>
    <row r="55" spans="1:20" ht="31.5" hidden="1" customHeight="1">
      <c r="A55" s="1119"/>
      <c r="B55" s="1120" t="s">
        <v>1550</v>
      </c>
      <c r="C55" s="1170"/>
      <c r="D55" s="964"/>
      <c r="E55" s="534"/>
      <c r="F55" s="534"/>
      <c r="G55" s="534"/>
      <c r="H55" s="1141" t="e">
        <f t="shared" si="8"/>
        <v>#DIV/0!</v>
      </c>
      <c r="I55" s="1115">
        <v>2</v>
      </c>
      <c r="J55" s="720"/>
      <c r="K55" s="1524" t="s">
        <v>1760</v>
      </c>
      <c r="L55" s="1121"/>
      <c r="M55" s="1121"/>
      <c r="N55" s="1121"/>
      <c r="O55" s="1121"/>
      <c r="P55" s="484"/>
      <c r="Q55" s="484"/>
      <c r="R55" s="484"/>
      <c r="S55" s="1171"/>
      <c r="T55" s="657"/>
    </row>
    <row r="56" spans="1:20" s="449" customFormat="1" ht="134.25" customHeight="1">
      <c r="A56" s="501" t="s">
        <v>2833</v>
      </c>
      <c r="B56" s="496" t="s">
        <v>2794</v>
      </c>
      <c r="C56" s="501"/>
      <c r="D56" s="501"/>
      <c r="E56" s="502">
        <f>SUM(E59,E63,E67,E71,E84,)</f>
        <v>84.9</v>
      </c>
      <c r="F56" s="502">
        <f>SUM(F59,F63,F67,F71,F84,)</f>
        <v>163.279</v>
      </c>
      <c r="G56" s="502">
        <f>SUM(G59,G63,G67,G71,G84,)</f>
        <v>156.29000000000002</v>
      </c>
      <c r="H56" s="1105">
        <f t="shared" si="8"/>
        <v>0.95719596518841998</v>
      </c>
      <c r="I56" s="698">
        <f>SUM(I59,I63,I67,I71,I84,)</f>
        <v>135.6</v>
      </c>
      <c r="J56" s="501" t="s">
        <v>2231</v>
      </c>
      <c r="K56" s="1653"/>
      <c r="L56" s="1654"/>
      <c r="M56" s="1654"/>
      <c r="N56" s="1654"/>
      <c r="O56" s="1654"/>
      <c r="P56" s="1654"/>
      <c r="Q56" s="1654"/>
      <c r="R56" s="1654"/>
      <c r="S56" s="1654"/>
      <c r="T56" s="1919"/>
    </row>
    <row r="57" spans="1:20" ht="32.5" customHeight="1">
      <c r="A57" s="1883" t="s">
        <v>1993</v>
      </c>
      <c r="B57" s="1914" t="s">
        <v>1390</v>
      </c>
      <c r="C57" s="1970">
        <v>300509331</v>
      </c>
      <c r="D57" s="724" t="s">
        <v>668</v>
      </c>
      <c r="E57" s="701">
        <f>E61</f>
        <v>11.4</v>
      </c>
      <c r="F57" s="734">
        <v>14.218</v>
      </c>
      <c r="G57" s="734">
        <v>14.212999999999999</v>
      </c>
      <c r="H57" s="1183">
        <f t="shared" si="8"/>
        <v>0.99964833309888868</v>
      </c>
      <c r="I57" s="810">
        <v>16</v>
      </c>
      <c r="J57" s="1959" t="s">
        <v>2232</v>
      </c>
      <c r="K57" s="1699" t="s">
        <v>3642</v>
      </c>
      <c r="L57" s="1637" t="s">
        <v>130</v>
      </c>
      <c r="M57" s="1646" t="s">
        <v>1541</v>
      </c>
      <c r="N57" s="1637" t="s">
        <v>1532</v>
      </c>
      <c r="O57" s="1637" t="s">
        <v>1649</v>
      </c>
      <c r="P57" s="1646" t="s">
        <v>1533</v>
      </c>
      <c r="Q57" s="1646" t="s">
        <v>1563</v>
      </c>
      <c r="R57" s="1646" t="s">
        <v>1564</v>
      </c>
      <c r="S57" s="1646" t="s">
        <v>2224</v>
      </c>
      <c r="T57" s="1665" t="s">
        <v>3548</v>
      </c>
    </row>
    <row r="58" spans="1:20" ht="27.65" customHeight="1">
      <c r="A58" s="1766"/>
      <c r="B58" s="1894"/>
      <c r="C58" s="1971"/>
      <c r="D58" s="724" t="s">
        <v>976</v>
      </c>
      <c r="E58" s="701">
        <v>0</v>
      </c>
      <c r="F58" s="701">
        <v>77.753</v>
      </c>
      <c r="G58" s="701">
        <v>72.334000000000003</v>
      </c>
      <c r="H58" s="1183">
        <f t="shared" si="8"/>
        <v>0.93030494000231512</v>
      </c>
      <c r="I58" s="810">
        <v>0.24</v>
      </c>
      <c r="J58" s="1960"/>
      <c r="K58" s="1699"/>
      <c r="L58" s="1638"/>
      <c r="M58" s="1646"/>
      <c r="N58" s="1638"/>
      <c r="O58" s="1638"/>
      <c r="P58" s="1646"/>
      <c r="Q58" s="1646"/>
      <c r="R58" s="1646"/>
      <c r="S58" s="1646"/>
      <c r="T58" s="1666"/>
    </row>
    <row r="59" spans="1:20" ht="21" customHeight="1">
      <c r="A59" s="1766"/>
      <c r="B59" s="1894"/>
      <c r="C59" s="1971"/>
      <c r="D59" s="1967" t="s">
        <v>1321</v>
      </c>
      <c r="E59" s="1965">
        <f>SUM(E57:E58)</f>
        <v>11.4</v>
      </c>
      <c r="F59" s="1963">
        <f>SUM(F57:F58)</f>
        <v>91.971000000000004</v>
      </c>
      <c r="G59" s="1963">
        <f t="shared" ref="G59" si="20">SUM(G57:G58)</f>
        <v>86.546999999999997</v>
      </c>
      <c r="H59" s="1961">
        <f t="shared" si="8"/>
        <v>0.94102488828000119</v>
      </c>
      <c r="I59" s="1106" cm="1">
        <f t="array" ref="I59:I60">I57:I58</f>
        <v>16</v>
      </c>
      <c r="J59" s="1960"/>
      <c r="K59" s="1699"/>
      <c r="L59" s="1638"/>
      <c r="M59" s="1646"/>
      <c r="N59" s="1639"/>
      <c r="O59" s="1639"/>
      <c r="P59" s="1646"/>
      <c r="Q59" s="1646"/>
      <c r="R59" s="1646"/>
      <c r="S59" s="1646"/>
      <c r="T59" s="1671"/>
    </row>
    <row r="60" spans="1:20" ht="53.25" customHeight="1">
      <c r="A60" s="1767"/>
      <c r="B60" s="1895"/>
      <c r="C60" s="1937"/>
      <c r="D60" s="1968"/>
      <c r="E60" s="1966"/>
      <c r="F60" s="1964"/>
      <c r="G60" s="1964"/>
      <c r="H60" s="1962"/>
      <c r="I60" s="1106">
        <v>0.24</v>
      </c>
      <c r="J60" s="1960"/>
      <c r="K60" s="1699"/>
      <c r="L60" s="1639"/>
      <c r="M60" s="638" t="s">
        <v>2901</v>
      </c>
      <c r="N60" s="527" t="s">
        <v>2941</v>
      </c>
      <c r="O60" s="527" t="s">
        <v>3102</v>
      </c>
      <c r="P60" s="638"/>
      <c r="Q60" s="638"/>
      <c r="R60" s="638"/>
      <c r="S60" s="638"/>
      <c r="T60" s="657" t="s">
        <v>3643</v>
      </c>
    </row>
    <row r="61" spans="1:20" ht="27.65" hidden="1" customHeight="1">
      <c r="A61" s="1122"/>
      <c r="B61" s="1111" t="s">
        <v>1551</v>
      </c>
      <c r="C61" s="722"/>
      <c r="D61" s="806"/>
      <c r="E61" s="537">
        <v>11.4</v>
      </c>
      <c r="F61" s="538">
        <v>14.218</v>
      </c>
      <c r="G61" s="538">
        <v>14.212999999999999</v>
      </c>
      <c r="H61" s="1117">
        <f t="shared" si="8"/>
        <v>0.99964833309888868</v>
      </c>
      <c r="I61" s="974"/>
      <c r="J61" s="883"/>
      <c r="K61" s="1524"/>
      <c r="L61" s="1113"/>
      <c r="M61" s="1123"/>
      <c r="N61" s="1123"/>
      <c r="O61" s="1123"/>
      <c r="P61" s="483"/>
      <c r="Q61" s="483"/>
      <c r="R61" s="483"/>
      <c r="S61" s="483"/>
      <c r="T61" s="720"/>
    </row>
    <row r="62" spans="1:20" ht="28.5" customHeight="1">
      <c r="A62" s="1816" t="s">
        <v>1994</v>
      </c>
      <c r="B62" s="1757" t="s">
        <v>1391</v>
      </c>
      <c r="C62" s="1969">
        <v>188711925</v>
      </c>
      <c r="D62" s="761" t="s">
        <v>668</v>
      </c>
      <c r="E62" s="701">
        <f>E65</f>
        <v>14</v>
      </c>
      <c r="F62" s="701">
        <f t="shared" ref="F62:G62" si="21">F65</f>
        <v>14</v>
      </c>
      <c r="G62" s="701">
        <f t="shared" si="21"/>
        <v>12.439</v>
      </c>
      <c r="H62" s="1141">
        <f t="shared" si="8"/>
        <v>0.88849999999999996</v>
      </c>
      <c r="I62" s="810">
        <f>SUM(I64:I65)</f>
        <v>10.6</v>
      </c>
      <c r="J62" s="1762" t="s">
        <v>2233</v>
      </c>
      <c r="K62" s="1699" t="s">
        <v>3644</v>
      </c>
      <c r="L62" s="1646" t="s">
        <v>131</v>
      </c>
      <c r="M62" s="1646" t="s">
        <v>2795</v>
      </c>
      <c r="N62" s="1637" t="s">
        <v>551</v>
      </c>
      <c r="O62" s="1637" t="s">
        <v>551</v>
      </c>
      <c r="P62" s="1646" t="s">
        <v>551</v>
      </c>
      <c r="Q62" s="1646" t="s">
        <v>551</v>
      </c>
      <c r="R62" s="1646" t="s">
        <v>551</v>
      </c>
      <c r="S62" s="1646" t="s">
        <v>2234</v>
      </c>
      <c r="T62" s="1665" t="s">
        <v>3548</v>
      </c>
    </row>
    <row r="63" spans="1:20" ht="33.75" customHeight="1">
      <c r="A63" s="1816"/>
      <c r="B63" s="1757"/>
      <c r="C63" s="1969"/>
      <c r="D63" s="1124" t="s">
        <v>1321</v>
      </c>
      <c r="E63" s="731">
        <f>E62</f>
        <v>14</v>
      </c>
      <c r="F63" s="731">
        <f t="shared" ref="F63:G63" si="22">F62</f>
        <v>14</v>
      </c>
      <c r="G63" s="731">
        <f t="shared" si="22"/>
        <v>12.439</v>
      </c>
      <c r="H63" s="707">
        <f t="shared" si="8"/>
        <v>0.88849999999999996</v>
      </c>
      <c r="I63" s="1097">
        <f>SUM(I62)</f>
        <v>10.6</v>
      </c>
      <c r="J63" s="1763"/>
      <c r="K63" s="1700"/>
      <c r="L63" s="1646"/>
      <c r="M63" s="1646"/>
      <c r="N63" s="1639"/>
      <c r="O63" s="1639"/>
      <c r="P63" s="1646"/>
      <c r="Q63" s="1646"/>
      <c r="R63" s="1646"/>
      <c r="S63" s="1646"/>
      <c r="T63" s="1671"/>
    </row>
    <row r="64" spans="1:20" ht="90.75" hidden="1" customHeight="1">
      <c r="A64" s="520"/>
      <c r="B64" s="799" t="s">
        <v>1551</v>
      </c>
      <c r="C64" s="1166"/>
      <c r="D64" s="720"/>
      <c r="E64" s="534">
        <v>0</v>
      </c>
      <c r="F64" s="534"/>
      <c r="G64" s="534"/>
      <c r="H64" s="1141" t="e">
        <f t="shared" si="8"/>
        <v>#DIV/0!</v>
      </c>
      <c r="I64" s="534">
        <v>0.6</v>
      </c>
      <c r="J64" s="720"/>
      <c r="K64" s="1523" t="s">
        <v>1906</v>
      </c>
      <c r="L64" s="884"/>
      <c r="M64" s="1123"/>
      <c r="N64" s="1123"/>
      <c r="O64" s="1123"/>
      <c r="P64" s="483"/>
      <c r="Q64" s="483"/>
      <c r="R64" s="483"/>
      <c r="S64" s="483"/>
      <c r="T64" s="657"/>
    </row>
    <row r="65" spans="1:20" ht="21.75" hidden="1" customHeight="1">
      <c r="A65" s="617"/>
      <c r="B65" s="921" t="s">
        <v>1550</v>
      </c>
      <c r="C65" s="1169"/>
      <c r="D65" s="911"/>
      <c r="E65" s="537">
        <v>14</v>
      </c>
      <c r="F65" s="537">
        <v>14</v>
      </c>
      <c r="G65" s="537">
        <v>12.439</v>
      </c>
      <c r="H65" s="1117">
        <f t="shared" si="8"/>
        <v>0.88849999999999996</v>
      </c>
      <c r="I65" s="541">
        <v>10</v>
      </c>
      <c r="J65" s="911"/>
      <c r="K65" s="1525"/>
      <c r="L65" s="1125"/>
      <c r="M65" s="1126"/>
      <c r="N65" s="1123"/>
      <c r="O65" s="1123"/>
      <c r="P65" s="483"/>
      <c r="Q65" s="483"/>
      <c r="R65" s="483"/>
      <c r="S65" s="483"/>
      <c r="T65" s="720"/>
    </row>
    <row r="66" spans="1:20" ht="39.75" customHeight="1">
      <c r="A66" s="1767" t="s">
        <v>1995</v>
      </c>
      <c r="B66" s="1895" t="s">
        <v>1392</v>
      </c>
      <c r="C66" s="1937" t="s">
        <v>1325</v>
      </c>
      <c r="D66" s="733" t="s">
        <v>668</v>
      </c>
      <c r="E66" s="734">
        <f>SUM(E68,E69)</f>
        <v>41.5</v>
      </c>
      <c r="F66" s="734">
        <f t="shared" ref="F66:G66" si="23">SUM(F68,F69)</f>
        <v>39.933</v>
      </c>
      <c r="G66" s="734">
        <f t="shared" si="23"/>
        <v>39.932000000000002</v>
      </c>
      <c r="H66" s="1141">
        <f t="shared" si="8"/>
        <v>0.99997495805474179</v>
      </c>
      <c r="I66" s="1114">
        <f>SUM(I68:I69)</f>
        <v>65</v>
      </c>
      <c r="J66" s="1762" t="s">
        <v>2235</v>
      </c>
      <c r="K66" s="1699" t="s">
        <v>3645</v>
      </c>
      <c r="L66" s="1646" t="s">
        <v>132</v>
      </c>
      <c r="M66" s="1646" t="s">
        <v>1542</v>
      </c>
      <c r="N66" s="1637" t="s">
        <v>551</v>
      </c>
      <c r="O66" s="1637" t="s">
        <v>551</v>
      </c>
      <c r="P66" s="1646" t="s">
        <v>551</v>
      </c>
      <c r="Q66" s="1646" t="s">
        <v>551</v>
      </c>
      <c r="R66" s="1646" t="s">
        <v>551</v>
      </c>
      <c r="S66" s="1646" t="s">
        <v>2236</v>
      </c>
      <c r="T66" s="1665" t="s">
        <v>3548</v>
      </c>
    </row>
    <row r="67" spans="1:20" ht="49.5" customHeight="1">
      <c r="A67" s="1803"/>
      <c r="B67" s="1890"/>
      <c r="C67" s="1936"/>
      <c r="D67" s="1127" t="s">
        <v>1321</v>
      </c>
      <c r="E67" s="706">
        <f>E66</f>
        <v>41.5</v>
      </c>
      <c r="F67" s="706">
        <f t="shared" ref="F67:G67" si="24">F66</f>
        <v>39.933</v>
      </c>
      <c r="G67" s="706">
        <f t="shared" si="24"/>
        <v>39.932000000000002</v>
      </c>
      <c r="H67" s="1110">
        <f t="shared" si="8"/>
        <v>0.99997495805474179</v>
      </c>
      <c r="I67" s="1097">
        <f>SUM(I66)</f>
        <v>65</v>
      </c>
      <c r="J67" s="1763"/>
      <c r="K67" s="1700"/>
      <c r="L67" s="1646"/>
      <c r="M67" s="1646"/>
      <c r="N67" s="1639"/>
      <c r="O67" s="1639"/>
      <c r="P67" s="1646"/>
      <c r="Q67" s="1646"/>
      <c r="R67" s="1646"/>
      <c r="S67" s="1646"/>
      <c r="T67" s="1671"/>
    </row>
    <row r="68" spans="1:20" ht="48" hidden="1" customHeight="1">
      <c r="A68" s="505"/>
      <c r="B68" s="1111" t="s">
        <v>1550</v>
      </c>
      <c r="C68" s="722"/>
      <c r="D68" s="1112"/>
      <c r="E68" s="537">
        <v>20</v>
      </c>
      <c r="F68" s="537">
        <v>20</v>
      </c>
      <c r="G68" s="537">
        <v>20</v>
      </c>
      <c r="H68" s="1117">
        <f t="shared" si="8"/>
        <v>1</v>
      </c>
      <c r="I68" s="1128">
        <v>33</v>
      </c>
      <c r="J68" s="911"/>
      <c r="K68" s="1526" t="s">
        <v>1907</v>
      </c>
      <c r="L68" s="1118"/>
      <c r="M68" s="1123"/>
      <c r="N68" s="1123"/>
      <c r="O68" s="1123"/>
      <c r="P68" s="483"/>
      <c r="Q68" s="483"/>
      <c r="R68" s="483"/>
      <c r="S68" s="483"/>
      <c r="T68" s="720"/>
    </row>
    <row r="69" spans="1:20" ht="39" hidden="1" customHeight="1">
      <c r="A69" s="505"/>
      <c r="B69" s="1111" t="s">
        <v>1551</v>
      </c>
      <c r="C69" s="722"/>
      <c r="D69" s="1112"/>
      <c r="E69" s="537">
        <v>21.5</v>
      </c>
      <c r="F69" s="537">
        <v>19.933</v>
      </c>
      <c r="G69" s="537">
        <v>19.931999999999999</v>
      </c>
      <c r="H69" s="1117">
        <f t="shared" si="8"/>
        <v>0.99994983193698883</v>
      </c>
      <c r="I69" s="1128">
        <v>32</v>
      </c>
      <c r="J69" s="911"/>
      <c r="K69" s="1526" t="s">
        <v>1908</v>
      </c>
      <c r="L69" s="1118"/>
      <c r="M69" s="1123"/>
      <c r="N69" s="1123"/>
      <c r="O69" s="1123"/>
      <c r="P69" s="483"/>
      <c r="Q69" s="483"/>
      <c r="R69" s="483"/>
      <c r="S69" s="483"/>
      <c r="T69" s="720"/>
    </row>
    <row r="70" spans="1:20" ht="99" customHeight="1">
      <c r="A70" s="1803" t="s">
        <v>1996</v>
      </c>
      <c r="B70" s="1889" t="s">
        <v>1393</v>
      </c>
      <c r="C70" s="1935">
        <v>188711925</v>
      </c>
      <c r="D70" s="724" t="s">
        <v>668</v>
      </c>
      <c r="E70" s="734">
        <f>E72</f>
        <v>18</v>
      </c>
      <c r="F70" s="734">
        <f>F72+F80+F81</f>
        <v>17.375</v>
      </c>
      <c r="G70" s="734">
        <f>G72+G80+G81</f>
        <v>17.372</v>
      </c>
      <c r="H70" s="1141">
        <f t="shared" si="8"/>
        <v>0.99982733812949642</v>
      </c>
      <c r="I70" s="810">
        <f>SUM(I72)</f>
        <v>22</v>
      </c>
      <c r="J70" s="1762" t="s">
        <v>2237</v>
      </c>
      <c r="K70" s="1699" t="s">
        <v>3646</v>
      </c>
      <c r="L70" s="1639" t="s">
        <v>133</v>
      </c>
      <c r="M70" s="1646" t="s">
        <v>1543</v>
      </c>
      <c r="N70" s="1637" t="s">
        <v>566</v>
      </c>
      <c r="O70" s="1637" t="s">
        <v>1757</v>
      </c>
      <c r="P70" s="1646" t="s">
        <v>1536</v>
      </c>
      <c r="Q70" s="1646" t="s">
        <v>1598</v>
      </c>
      <c r="R70" s="1646" t="s">
        <v>1540</v>
      </c>
      <c r="S70" s="1646" t="s">
        <v>2228</v>
      </c>
      <c r="T70" s="1665" t="s">
        <v>3548</v>
      </c>
    </row>
    <row r="71" spans="1:20" ht="60.75" customHeight="1">
      <c r="A71" s="1803"/>
      <c r="B71" s="1890"/>
      <c r="C71" s="1936"/>
      <c r="D71" s="730" t="s">
        <v>1321</v>
      </c>
      <c r="E71" s="731">
        <f>E70</f>
        <v>18</v>
      </c>
      <c r="F71" s="731">
        <f t="shared" ref="F71:G71" si="25">F70</f>
        <v>17.375</v>
      </c>
      <c r="G71" s="731">
        <f t="shared" si="25"/>
        <v>17.372</v>
      </c>
      <c r="H71" s="1110">
        <f t="shared" si="8"/>
        <v>0.99982733812949642</v>
      </c>
      <c r="I71" s="1097">
        <f>I70</f>
        <v>22</v>
      </c>
      <c r="J71" s="1763"/>
      <c r="K71" s="1700"/>
      <c r="L71" s="1646"/>
      <c r="M71" s="1646"/>
      <c r="N71" s="1639"/>
      <c r="O71" s="1639"/>
      <c r="P71" s="1646"/>
      <c r="Q71" s="1646"/>
      <c r="R71" s="1646"/>
      <c r="S71" s="1646"/>
      <c r="T71" s="1671"/>
    </row>
    <row r="72" spans="1:20" ht="20.149999999999999" hidden="1" customHeight="1">
      <c r="A72" s="1129"/>
      <c r="B72" s="1111" t="s">
        <v>2956</v>
      </c>
      <c r="C72" s="722"/>
      <c r="D72" s="852"/>
      <c r="E72" s="941">
        <v>18</v>
      </c>
      <c r="F72" s="537">
        <v>13.289</v>
      </c>
      <c r="G72" s="537">
        <v>13.286</v>
      </c>
      <c r="H72" s="1159">
        <f t="shared" si="8"/>
        <v>0.9997742493791858</v>
      </c>
      <c r="I72" s="1130">
        <v>22</v>
      </c>
      <c r="J72" s="911"/>
      <c r="K72" s="1527"/>
      <c r="L72" s="1118"/>
      <c r="M72" s="1118"/>
      <c r="N72" s="884"/>
      <c r="O72" s="884"/>
      <c r="P72" s="753"/>
      <c r="Q72" s="753"/>
      <c r="R72" s="753"/>
      <c r="S72" s="753"/>
      <c r="T72" s="720"/>
    </row>
    <row r="73" spans="1:20" ht="28.5" hidden="1" customHeight="1">
      <c r="A73" s="1131"/>
      <c r="B73" s="1132" t="s">
        <v>3103</v>
      </c>
      <c r="C73" s="1172"/>
      <c r="D73" s="1133"/>
      <c r="E73" s="540"/>
      <c r="F73" s="540"/>
      <c r="G73" s="540">
        <v>2.786</v>
      </c>
      <c r="H73" s="1173"/>
      <c r="I73" s="540"/>
      <c r="J73" s="1133"/>
      <c r="K73" s="1528" t="s">
        <v>2957</v>
      </c>
      <c r="L73" s="1118"/>
      <c r="M73" s="1118"/>
      <c r="N73" s="1118"/>
      <c r="O73" s="1118"/>
      <c r="P73" s="829"/>
      <c r="Q73" s="829"/>
      <c r="R73" s="829"/>
      <c r="S73" s="1174"/>
      <c r="T73" s="720"/>
    </row>
    <row r="74" spans="1:20" ht="20.5" hidden="1" customHeight="1">
      <c r="A74" s="617"/>
      <c r="B74" s="921" t="s">
        <v>2943</v>
      </c>
      <c r="C74" s="1169"/>
      <c r="D74" s="1095"/>
      <c r="E74" s="1096"/>
      <c r="F74" s="1096"/>
      <c r="G74" s="537">
        <v>2.5</v>
      </c>
      <c r="H74" s="1159"/>
      <c r="I74" s="537"/>
      <c r="J74" s="911"/>
      <c r="K74" s="1507" t="s">
        <v>2955</v>
      </c>
      <c r="L74" s="1118"/>
      <c r="M74" s="1118"/>
      <c r="N74" s="1118"/>
      <c r="O74" s="1118"/>
      <c r="P74" s="829"/>
      <c r="Q74" s="829"/>
      <c r="R74" s="829"/>
      <c r="S74" s="1174"/>
      <c r="T74" s="720"/>
    </row>
    <row r="75" spans="1:20" ht="27.75" hidden="1" customHeight="1">
      <c r="A75" s="617"/>
      <c r="B75" s="921" t="s">
        <v>2944</v>
      </c>
      <c r="C75" s="1169"/>
      <c r="D75" s="1095"/>
      <c r="E75" s="1096"/>
      <c r="F75" s="1096"/>
      <c r="G75" s="537">
        <v>2</v>
      </c>
      <c r="H75" s="1159"/>
      <c r="I75" s="537"/>
      <c r="J75" s="911"/>
      <c r="K75" s="1507" t="s">
        <v>2954</v>
      </c>
      <c r="L75" s="1118"/>
      <c r="M75" s="1118"/>
      <c r="N75" s="1118"/>
      <c r="O75" s="1118"/>
      <c r="P75" s="829"/>
      <c r="Q75" s="829"/>
      <c r="R75" s="829"/>
      <c r="S75" s="1174"/>
      <c r="T75" s="720"/>
    </row>
    <row r="76" spans="1:20" ht="27" hidden="1" customHeight="1">
      <c r="A76" s="617"/>
      <c r="B76" s="921" t="s">
        <v>2945</v>
      </c>
      <c r="C76" s="1169"/>
      <c r="D76" s="1095"/>
      <c r="E76" s="1096"/>
      <c r="F76" s="1096"/>
      <c r="G76" s="537">
        <v>2</v>
      </c>
      <c r="H76" s="1159"/>
      <c r="I76" s="537"/>
      <c r="J76" s="911"/>
      <c r="K76" s="1517" t="s">
        <v>2953</v>
      </c>
      <c r="L76" s="1118"/>
      <c r="M76" s="1118"/>
      <c r="N76" s="1118"/>
      <c r="O76" s="1118"/>
      <c r="P76" s="829"/>
      <c r="Q76" s="829"/>
      <c r="R76" s="829"/>
      <c r="S76" s="1174"/>
      <c r="T76" s="720"/>
    </row>
    <row r="77" spans="1:20" ht="24.65" hidden="1" customHeight="1">
      <c r="A77" s="617"/>
      <c r="B77" s="921" t="s">
        <v>2946</v>
      </c>
      <c r="C77" s="1169"/>
      <c r="D77" s="1095"/>
      <c r="E77" s="1096"/>
      <c r="F77" s="1096"/>
      <c r="G77" s="537">
        <v>2</v>
      </c>
      <c r="H77" s="1159"/>
      <c r="I77" s="537"/>
      <c r="J77" s="911"/>
      <c r="K77" s="1507" t="s">
        <v>2952</v>
      </c>
      <c r="L77" s="1118"/>
      <c r="M77" s="1118"/>
      <c r="N77" s="1118"/>
      <c r="O77" s="1118"/>
      <c r="P77" s="829"/>
      <c r="Q77" s="829"/>
      <c r="R77" s="829"/>
      <c r="S77" s="1174"/>
      <c r="T77" s="720"/>
    </row>
    <row r="78" spans="1:20" ht="18.649999999999999" hidden="1" customHeight="1">
      <c r="A78" s="617"/>
      <c r="B78" s="921" t="s">
        <v>2947</v>
      </c>
      <c r="C78" s="1169"/>
      <c r="D78" s="1095"/>
      <c r="E78" s="1096"/>
      <c r="F78" s="1096"/>
      <c r="G78" s="537">
        <v>1</v>
      </c>
      <c r="H78" s="1159"/>
      <c r="I78" s="941"/>
      <c r="J78" s="947"/>
      <c r="K78" s="1529" t="s">
        <v>2951</v>
      </c>
      <c r="L78" s="1118"/>
      <c r="M78" s="1118"/>
      <c r="N78" s="1118"/>
      <c r="O78" s="1118"/>
      <c r="P78" s="829"/>
      <c r="Q78" s="829"/>
      <c r="R78" s="829"/>
      <c r="S78" s="1174"/>
      <c r="T78" s="720"/>
    </row>
    <row r="79" spans="1:20" ht="18.649999999999999" hidden="1" customHeight="1">
      <c r="A79" s="617"/>
      <c r="B79" s="921" t="s">
        <v>2948</v>
      </c>
      <c r="C79" s="1169"/>
      <c r="D79" s="1095"/>
      <c r="E79" s="1096"/>
      <c r="F79" s="1096"/>
      <c r="G79" s="537">
        <v>1</v>
      </c>
      <c r="H79" s="1159"/>
      <c r="I79" s="941"/>
      <c r="J79" s="947"/>
      <c r="K79" s="1529" t="s">
        <v>2950</v>
      </c>
      <c r="L79" s="1118"/>
      <c r="M79" s="1118"/>
      <c r="N79" s="1118"/>
      <c r="O79" s="1118"/>
      <c r="P79" s="829"/>
      <c r="Q79" s="829"/>
      <c r="R79" s="829"/>
      <c r="S79" s="1174"/>
      <c r="T79" s="720"/>
    </row>
    <row r="80" spans="1:20" ht="24" hidden="1" customHeight="1">
      <c r="A80" s="617"/>
      <c r="B80" s="1132" t="s">
        <v>3104</v>
      </c>
      <c r="C80" s="1172"/>
      <c r="D80" s="1133"/>
      <c r="E80" s="540"/>
      <c r="F80" s="540">
        <v>1.5860000000000001</v>
      </c>
      <c r="G80" s="540">
        <v>1.5860000000000001</v>
      </c>
      <c r="H80" s="1173">
        <f t="shared" si="8"/>
        <v>1</v>
      </c>
      <c r="I80" s="1134"/>
      <c r="J80" s="1175"/>
      <c r="K80" s="1530" t="s">
        <v>2958</v>
      </c>
      <c r="L80" s="1118"/>
      <c r="M80" s="1118"/>
      <c r="N80" s="884"/>
      <c r="O80" s="884"/>
      <c r="P80" s="753"/>
      <c r="Q80" s="753"/>
      <c r="R80" s="753"/>
      <c r="S80" s="753"/>
      <c r="T80" s="720"/>
    </row>
    <row r="81" spans="1:51" ht="20.149999999999999" hidden="1" customHeight="1">
      <c r="A81" s="613"/>
      <c r="B81" s="1135" t="s">
        <v>1668</v>
      </c>
      <c r="C81" s="1169"/>
      <c r="D81" s="911"/>
      <c r="E81" s="537"/>
      <c r="F81" s="537">
        <v>2.5</v>
      </c>
      <c r="G81" s="537">
        <v>2.5</v>
      </c>
      <c r="H81" s="1159">
        <f t="shared" si="8"/>
        <v>1</v>
      </c>
      <c r="I81" s="941"/>
      <c r="J81" s="947"/>
      <c r="K81" s="1529" t="s">
        <v>2949</v>
      </c>
      <c r="L81" s="1118"/>
      <c r="M81" s="1118"/>
      <c r="N81" s="884"/>
      <c r="O81" s="884"/>
      <c r="P81" s="753"/>
      <c r="Q81" s="753"/>
      <c r="R81" s="753"/>
      <c r="S81" s="753"/>
      <c r="T81" s="720"/>
    </row>
    <row r="82" spans="1:51" ht="29.5" hidden="1" customHeight="1">
      <c r="A82" s="1766" t="s">
        <v>1997</v>
      </c>
      <c r="B82" s="1894" t="s">
        <v>1389</v>
      </c>
      <c r="C82" s="1937" t="s">
        <v>1325</v>
      </c>
      <c r="D82" s="733" t="s">
        <v>2751</v>
      </c>
      <c r="E82" s="1114"/>
      <c r="F82" s="1114"/>
      <c r="G82" s="1114"/>
      <c r="H82" s="1141" t="e">
        <f t="shared" si="8"/>
        <v>#DIV/0!</v>
      </c>
      <c r="I82" s="810">
        <f>I85</f>
        <v>22</v>
      </c>
      <c r="J82" s="1762" t="s">
        <v>2237</v>
      </c>
      <c r="K82" s="1931" t="s">
        <v>1762</v>
      </c>
      <c r="L82" s="1933" t="s">
        <v>1545</v>
      </c>
      <c r="M82" s="1933" t="s">
        <v>1543</v>
      </c>
      <c r="N82" s="814"/>
      <c r="O82" s="814"/>
      <c r="P82" s="1638" t="s">
        <v>469</v>
      </c>
      <c r="Q82" s="1638" t="s">
        <v>469</v>
      </c>
      <c r="R82" s="1638" t="s">
        <v>469</v>
      </c>
      <c r="S82" s="1646" t="s">
        <v>2238</v>
      </c>
      <c r="T82" s="657"/>
    </row>
    <row r="83" spans="1:51" ht="27.65" hidden="1" customHeight="1">
      <c r="A83" s="1766"/>
      <c r="B83" s="1894"/>
      <c r="C83" s="1936"/>
      <c r="D83" s="1136" t="s">
        <v>341</v>
      </c>
      <c r="E83" s="1137"/>
      <c r="F83" s="1138"/>
      <c r="G83" s="1138"/>
      <c r="H83" s="1141" t="e">
        <f t="shared" si="8"/>
        <v>#DIV/0!</v>
      </c>
      <c r="I83" s="1137"/>
      <c r="J83" s="1763"/>
      <c r="K83" s="1931"/>
      <c r="L83" s="1933"/>
      <c r="M83" s="1933"/>
      <c r="N83" s="814"/>
      <c r="O83" s="814"/>
      <c r="P83" s="1638"/>
      <c r="Q83" s="1638"/>
      <c r="R83" s="1638"/>
      <c r="S83" s="1646"/>
      <c r="T83" s="657"/>
    </row>
    <row r="84" spans="1:51" ht="57" hidden="1" customHeight="1">
      <c r="A84" s="1766"/>
      <c r="B84" s="1894"/>
      <c r="C84" s="1936"/>
      <c r="D84" s="730" t="s">
        <v>1321</v>
      </c>
      <c r="E84" s="1097"/>
      <c r="F84" s="1139"/>
      <c r="G84" s="1139"/>
      <c r="H84" s="1141" t="e">
        <f t="shared" si="8"/>
        <v>#DIV/0!</v>
      </c>
      <c r="I84" s="1097">
        <f>I82</f>
        <v>22</v>
      </c>
      <c r="J84" s="1788"/>
      <c r="K84" s="1932"/>
      <c r="L84" s="1934"/>
      <c r="M84" s="1934"/>
      <c r="N84" s="814"/>
      <c r="O84" s="814"/>
      <c r="P84" s="1638"/>
      <c r="Q84" s="1638"/>
      <c r="R84" s="1638"/>
      <c r="S84" s="1637"/>
      <c r="T84" s="657"/>
    </row>
    <row r="85" spans="1:51" ht="57" hidden="1" customHeight="1">
      <c r="A85" s="504"/>
      <c r="B85" s="799" t="s">
        <v>2415</v>
      </c>
      <c r="C85" s="1166"/>
      <c r="D85" s="770"/>
      <c r="E85" s="974"/>
      <c r="F85" s="974"/>
      <c r="G85" s="974"/>
      <c r="H85" s="1141" t="e">
        <f t="shared" si="8"/>
        <v>#DIV/0!</v>
      </c>
      <c r="I85" s="534">
        <v>22</v>
      </c>
      <c r="J85" s="720"/>
      <c r="K85" s="1524"/>
      <c r="L85" s="884"/>
      <c r="M85" s="884"/>
      <c r="N85" s="884"/>
      <c r="O85" s="884"/>
      <c r="P85" s="700"/>
      <c r="Q85" s="700"/>
      <c r="R85" s="700"/>
      <c r="S85" s="1174"/>
      <c r="T85" s="657"/>
    </row>
    <row r="86" spans="1:51" ht="57" hidden="1" customHeight="1">
      <c r="A86" s="504"/>
      <c r="B86" s="799" t="s">
        <v>2555</v>
      </c>
      <c r="C86" s="1166"/>
      <c r="D86" s="770"/>
      <c r="E86" s="974"/>
      <c r="F86" s="974"/>
      <c r="G86" s="974"/>
      <c r="H86" s="1141" t="e">
        <f t="shared" si="8"/>
        <v>#DIV/0!</v>
      </c>
      <c r="I86" s="534"/>
      <c r="J86" s="720"/>
      <c r="K86" s="1524"/>
      <c r="L86" s="1118"/>
      <c r="M86" s="1118"/>
      <c r="N86" s="1118"/>
      <c r="O86" s="1118"/>
      <c r="P86" s="829"/>
      <c r="Q86" s="829"/>
      <c r="R86" s="829"/>
      <c r="S86" s="1174"/>
      <c r="T86" s="657"/>
    </row>
    <row r="87" spans="1:51" s="396" customFormat="1" ht="52.5" customHeight="1">
      <c r="A87" s="469" t="s">
        <v>2832</v>
      </c>
      <c r="B87" s="984" t="s">
        <v>1394</v>
      </c>
      <c r="C87" s="1140"/>
      <c r="D87" s="501"/>
      <c r="E87" s="502">
        <f>SUM(E89,E93,)</f>
        <v>8</v>
      </c>
      <c r="F87" s="502">
        <f t="shared" ref="F87:G87" si="26">SUM(F89,F93,)</f>
        <v>5.1819999999999995</v>
      </c>
      <c r="G87" s="502">
        <f t="shared" si="26"/>
        <v>5.181</v>
      </c>
      <c r="H87" s="1105">
        <f t="shared" si="8"/>
        <v>0.9998070243149364</v>
      </c>
      <c r="I87" s="698">
        <f t="shared" ref="I87" si="27">SUM(I89,I93,)</f>
        <v>57.240000000000009</v>
      </c>
      <c r="J87" s="501" t="s">
        <v>1166</v>
      </c>
      <c r="K87" s="1653"/>
      <c r="L87" s="1654"/>
      <c r="M87" s="1654"/>
      <c r="N87" s="1654"/>
      <c r="O87" s="1654"/>
      <c r="P87" s="1654"/>
      <c r="Q87" s="1654"/>
      <c r="R87" s="1654"/>
      <c r="S87" s="1654"/>
      <c r="T87" s="1919"/>
      <c r="U87" s="374"/>
      <c r="V87" s="374"/>
      <c r="W87" s="374"/>
      <c r="X87" s="374"/>
      <c r="Y87" s="374"/>
      <c r="Z87" s="374"/>
      <c r="AA87" s="374"/>
      <c r="AB87" s="374"/>
      <c r="AC87" s="374"/>
      <c r="AD87" s="374"/>
      <c r="AE87" s="374"/>
      <c r="AF87" s="374"/>
      <c r="AG87" s="374"/>
      <c r="AH87" s="374"/>
      <c r="AI87" s="374"/>
      <c r="AJ87" s="374"/>
      <c r="AK87" s="374"/>
      <c r="AL87" s="374"/>
      <c r="AM87" s="374"/>
      <c r="AN87" s="374"/>
      <c r="AO87" s="374"/>
      <c r="AP87" s="374"/>
      <c r="AQ87" s="374"/>
      <c r="AR87" s="374"/>
      <c r="AS87" s="374"/>
      <c r="AT87" s="374"/>
      <c r="AU87" s="374"/>
      <c r="AV87" s="374"/>
      <c r="AW87" s="374"/>
      <c r="AX87" s="374"/>
      <c r="AY87" s="374"/>
    </row>
    <row r="88" spans="1:51" ht="34.950000000000003" customHeight="1">
      <c r="A88" s="1803" t="s">
        <v>1998</v>
      </c>
      <c r="B88" s="1889" t="s">
        <v>1395</v>
      </c>
      <c r="C88" s="1935">
        <v>300509331</v>
      </c>
      <c r="D88" s="724" t="s">
        <v>668</v>
      </c>
      <c r="E88" s="701">
        <f>E91</f>
        <v>4.7</v>
      </c>
      <c r="F88" s="701">
        <f t="shared" ref="F88:G88" si="28">F91</f>
        <v>1.8819999999999999</v>
      </c>
      <c r="G88" s="701">
        <f t="shared" si="28"/>
        <v>1.881</v>
      </c>
      <c r="H88" s="1141">
        <f t="shared" si="8"/>
        <v>0.99946865037194477</v>
      </c>
      <c r="I88" s="810">
        <f>SUM(I91)</f>
        <v>7.7</v>
      </c>
      <c r="J88" s="1764" t="s">
        <v>2239</v>
      </c>
      <c r="K88" s="1640" t="s">
        <v>3647</v>
      </c>
      <c r="L88" s="1639" t="s">
        <v>3507</v>
      </c>
      <c r="M88" s="1639" t="s">
        <v>1544</v>
      </c>
      <c r="N88" s="1637" t="s">
        <v>1531</v>
      </c>
      <c r="O88" s="1637" t="s">
        <v>1531</v>
      </c>
      <c r="P88" s="1646" t="s">
        <v>1531</v>
      </c>
      <c r="Q88" s="1646" t="s">
        <v>1531</v>
      </c>
      <c r="R88" s="1646" t="s">
        <v>1531</v>
      </c>
      <c r="S88" s="1646" t="s">
        <v>1571</v>
      </c>
      <c r="T88" s="1665" t="s">
        <v>3544</v>
      </c>
    </row>
    <row r="89" spans="1:51" ht="41.5" customHeight="1">
      <c r="A89" s="1803"/>
      <c r="B89" s="1889"/>
      <c r="C89" s="1935"/>
      <c r="D89" s="727" t="s">
        <v>1321</v>
      </c>
      <c r="E89" s="706">
        <f>E88</f>
        <v>4.7</v>
      </c>
      <c r="F89" s="706">
        <f t="shared" ref="F89:G89" si="29">F88</f>
        <v>1.8819999999999999</v>
      </c>
      <c r="G89" s="706">
        <f t="shared" si="29"/>
        <v>1.881</v>
      </c>
      <c r="H89" s="1110">
        <f t="shared" si="8"/>
        <v>0.99946865037194477</v>
      </c>
      <c r="I89" s="1106">
        <f>SUM(I88)</f>
        <v>7.7</v>
      </c>
      <c r="J89" s="1764"/>
      <c r="K89" s="1708"/>
      <c r="L89" s="1646"/>
      <c r="M89" s="1646"/>
      <c r="N89" s="1639"/>
      <c r="O89" s="1639"/>
      <c r="P89" s="1646"/>
      <c r="Q89" s="1646"/>
      <c r="R89" s="1646"/>
      <c r="S89" s="1646"/>
      <c r="T89" s="1671"/>
    </row>
    <row r="90" spans="1:51" ht="24" hidden="1" customHeight="1">
      <c r="A90" s="505"/>
      <c r="B90" s="1142" t="s">
        <v>2704</v>
      </c>
      <c r="C90" s="1176"/>
      <c r="D90" s="1143"/>
      <c r="E90" s="974"/>
      <c r="F90" s="974"/>
      <c r="G90" s="974"/>
      <c r="H90" s="1141" t="e">
        <f t="shared" si="8"/>
        <v>#DIV/0!</v>
      </c>
      <c r="I90" s="1116"/>
      <c r="J90" s="1177"/>
      <c r="K90" s="1531" t="s">
        <v>2705</v>
      </c>
      <c r="L90" s="1144"/>
      <c r="M90" s="747"/>
      <c r="N90" s="747"/>
      <c r="O90" s="747"/>
      <c r="P90" s="638"/>
      <c r="Q90" s="638"/>
      <c r="R90" s="638"/>
      <c r="S90" s="638"/>
      <c r="T90" s="657"/>
    </row>
    <row r="91" spans="1:51" ht="21" hidden="1" customHeight="1">
      <c r="A91" s="505"/>
      <c r="B91" s="1111" t="s">
        <v>1551</v>
      </c>
      <c r="C91" s="722"/>
      <c r="D91" s="1112"/>
      <c r="E91" s="537">
        <v>4.7</v>
      </c>
      <c r="F91" s="537">
        <v>1.8819999999999999</v>
      </c>
      <c r="G91" s="537">
        <v>1.881</v>
      </c>
      <c r="H91" s="1117">
        <f t="shared" si="8"/>
        <v>0.99946865037194477</v>
      </c>
      <c r="I91" s="1116">
        <v>7.7</v>
      </c>
      <c r="J91" s="720"/>
      <c r="K91" s="1532"/>
      <c r="L91" s="1118"/>
      <c r="M91" s="1118"/>
      <c r="N91" s="1118"/>
      <c r="O91" s="1118"/>
      <c r="P91" s="483"/>
      <c r="Q91" s="483"/>
      <c r="R91" s="483"/>
      <c r="S91" s="753"/>
      <c r="T91" s="720"/>
    </row>
    <row r="92" spans="1:51" ht="30.65" customHeight="1">
      <c r="A92" s="1803" t="s">
        <v>1999</v>
      </c>
      <c r="B92" s="1889" t="s">
        <v>1396</v>
      </c>
      <c r="C92" s="1935" t="s">
        <v>1325</v>
      </c>
      <c r="D92" s="724" t="s">
        <v>668</v>
      </c>
      <c r="E92" s="734">
        <f>SUM(E94,E96)</f>
        <v>3.3</v>
      </c>
      <c r="F92" s="734">
        <f t="shared" ref="F92:G92" si="30">SUM(F94,F96)</f>
        <v>3.3</v>
      </c>
      <c r="G92" s="734">
        <f t="shared" si="30"/>
        <v>3.3</v>
      </c>
      <c r="H92" s="1141">
        <f t="shared" ref="H92:H123" si="31">G92/F92</f>
        <v>1</v>
      </c>
      <c r="I92" s="810">
        <f>SUM(I94:I96)</f>
        <v>49.540000000000006</v>
      </c>
      <c r="J92" s="1762" t="s">
        <v>2239</v>
      </c>
      <c r="K92" s="1640" t="s">
        <v>3105</v>
      </c>
      <c r="L92" s="1639" t="s">
        <v>3508</v>
      </c>
      <c r="M92" s="1639" t="s">
        <v>3106</v>
      </c>
      <c r="N92" s="1637" t="s">
        <v>1022</v>
      </c>
      <c r="O92" s="1637" t="s">
        <v>1022</v>
      </c>
      <c r="P92" s="1637" t="s">
        <v>1536</v>
      </c>
      <c r="Q92" s="1637" t="s">
        <v>1536</v>
      </c>
      <c r="R92" s="1637" t="s">
        <v>1536</v>
      </c>
      <c r="S92" s="1637" t="s">
        <v>1571</v>
      </c>
      <c r="T92" s="1665" t="s">
        <v>3544</v>
      </c>
    </row>
    <row r="93" spans="1:51" ht="34.950000000000003" customHeight="1">
      <c r="A93" s="1803"/>
      <c r="B93" s="1890"/>
      <c r="C93" s="1936"/>
      <c r="D93" s="730" t="s">
        <v>1321</v>
      </c>
      <c r="E93" s="731">
        <f>E92</f>
        <v>3.3</v>
      </c>
      <c r="F93" s="731">
        <f t="shared" ref="F93:G93" si="32">F92</f>
        <v>3.3</v>
      </c>
      <c r="G93" s="731">
        <f t="shared" si="32"/>
        <v>3.3</v>
      </c>
      <c r="H93" s="1110">
        <f t="shared" si="31"/>
        <v>1</v>
      </c>
      <c r="I93" s="1097">
        <f>SUM(I92)</f>
        <v>49.540000000000006</v>
      </c>
      <c r="J93" s="1763"/>
      <c r="K93" s="1708"/>
      <c r="L93" s="1646"/>
      <c r="M93" s="1646"/>
      <c r="N93" s="1639"/>
      <c r="O93" s="1639"/>
      <c r="P93" s="1639"/>
      <c r="Q93" s="1639"/>
      <c r="R93" s="1639"/>
      <c r="S93" s="1639"/>
      <c r="T93" s="1671"/>
    </row>
    <row r="94" spans="1:51" ht="17.25" hidden="1" customHeight="1">
      <c r="A94" s="617"/>
      <c r="B94" s="921" t="s">
        <v>1551</v>
      </c>
      <c r="C94" s="1169"/>
      <c r="D94" s="911"/>
      <c r="E94" s="537">
        <v>0.3</v>
      </c>
      <c r="F94" s="537">
        <v>3</v>
      </c>
      <c r="G94" s="537">
        <v>3</v>
      </c>
      <c r="H94" s="1117">
        <f t="shared" si="31"/>
        <v>1</v>
      </c>
      <c r="I94" s="1130">
        <v>36.78</v>
      </c>
      <c r="J94" s="911"/>
      <c r="K94" s="1525"/>
      <c r="L94" s="1113"/>
      <c r="M94" s="1113"/>
      <c r="N94" s="1113"/>
      <c r="O94" s="1113"/>
      <c r="P94" s="835"/>
      <c r="Q94" s="835"/>
      <c r="R94" s="835"/>
      <c r="S94" s="753"/>
      <c r="T94" s="720"/>
    </row>
    <row r="95" spans="1:51" ht="18.75" hidden="1" customHeight="1">
      <c r="A95" s="617"/>
      <c r="B95" s="921" t="s">
        <v>1553</v>
      </c>
      <c r="C95" s="1169"/>
      <c r="D95" s="911"/>
      <c r="E95" s="537">
        <v>0.3</v>
      </c>
      <c r="F95" s="537"/>
      <c r="G95" s="537"/>
      <c r="H95" s="1117"/>
      <c r="I95" s="1130">
        <v>9.06</v>
      </c>
      <c r="J95" s="911"/>
      <c r="K95" s="1525"/>
      <c r="L95" s="1113"/>
      <c r="M95" s="1113"/>
      <c r="N95" s="1113"/>
      <c r="O95" s="1113"/>
      <c r="P95" s="835"/>
      <c r="Q95" s="835"/>
      <c r="R95" s="835"/>
      <c r="S95" s="753"/>
      <c r="T95" s="720"/>
    </row>
    <row r="96" spans="1:51" ht="21" hidden="1" customHeight="1">
      <c r="A96" s="617"/>
      <c r="B96" s="921" t="s">
        <v>1552</v>
      </c>
      <c r="C96" s="1169"/>
      <c r="D96" s="911"/>
      <c r="E96" s="537">
        <v>3</v>
      </c>
      <c r="F96" s="537">
        <v>0.3</v>
      </c>
      <c r="G96" s="537">
        <v>0.3</v>
      </c>
      <c r="H96" s="1117">
        <f t="shared" si="31"/>
        <v>1</v>
      </c>
      <c r="I96" s="1130">
        <v>3.7</v>
      </c>
      <c r="J96" s="911"/>
      <c r="K96" s="1525"/>
      <c r="L96" s="1113"/>
      <c r="M96" s="1113"/>
      <c r="N96" s="1113"/>
      <c r="O96" s="1113"/>
      <c r="P96" s="835"/>
      <c r="Q96" s="835"/>
      <c r="R96" s="835"/>
      <c r="S96" s="753"/>
      <c r="T96" s="720"/>
    </row>
    <row r="97" spans="1:20" s="449" customFormat="1" ht="85.2" customHeight="1">
      <c r="A97" s="1145" t="s">
        <v>2000</v>
      </c>
      <c r="B97" s="984" t="s">
        <v>1397</v>
      </c>
      <c r="C97" s="1146"/>
      <c r="D97" s="501"/>
      <c r="E97" s="1147">
        <f>SUM(E99,E104,E109)</f>
        <v>71.949999999999989</v>
      </c>
      <c r="F97" s="1147">
        <f t="shared" ref="F97:G97" si="33">SUM(F99,F104,F109)</f>
        <v>77.527999999999992</v>
      </c>
      <c r="G97" s="1147">
        <f t="shared" si="33"/>
        <v>77.353000000000009</v>
      </c>
      <c r="H97" s="539">
        <f t="shared" si="31"/>
        <v>0.99774275100608834</v>
      </c>
      <c r="I97" s="1148">
        <f t="shared" ref="I97" si="34">SUM(I99,I104,I109)</f>
        <v>102.42999999999999</v>
      </c>
      <c r="J97" s="501" t="s">
        <v>1166</v>
      </c>
      <c r="K97" s="1653"/>
      <c r="L97" s="1654"/>
      <c r="M97" s="1654"/>
      <c r="N97" s="1654"/>
      <c r="O97" s="1654"/>
      <c r="P97" s="1654"/>
      <c r="Q97" s="1654"/>
      <c r="R97" s="1654"/>
      <c r="S97" s="1654"/>
      <c r="T97" s="1919"/>
    </row>
    <row r="98" spans="1:20" ht="29.5" customHeight="1">
      <c r="A98" s="1803" t="s">
        <v>2001</v>
      </c>
      <c r="B98" s="1889" t="s">
        <v>1398</v>
      </c>
      <c r="C98" s="1935" t="s">
        <v>1325</v>
      </c>
      <c r="D98" s="724" t="s">
        <v>668</v>
      </c>
      <c r="E98" s="701">
        <f>SUM(E100,E101)</f>
        <v>1.5499999999999998</v>
      </c>
      <c r="F98" s="701">
        <f>SUM(F100,F101)</f>
        <v>1.5499999999999998</v>
      </c>
      <c r="G98" s="701">
        <f>SUM(G100,G101)</f>
        <v>1.4129999999999998</v>
      </c>
      <c r="H98" s="1141">
        <f t="shared" si="31"/>
        <v>0.91161290322580646</v>
      </c>
      <c r="I98" s="810">
        <f>SUM(I100:I101)</f>
        <v>3.6</v>
      </c>
      <c r="J98" s="1762" t="s">
        <v>2223</v>
      </c>
      <c r="K98" s="1640" t="s">
        <v>3107</v>
      </c>
      <c r="L98" s="1639" t="s">
        <v>3509</v>
      </c>
      <c r="M98" s="1639" t="s">
        <v>2796</v>
      </c>
      <c r="N98" s="1637" t="s">
        <v>1531</v>
      </c>
      <c r="O98" s="1637" t="s">
        <v>1531</v>
      </c>
      <c r="P98" s="1639" t="s">
        <v>1531</v>
      </c>
      <c r="Q98" s="1639" t="s">
        <v>551</v>
      </c>
      <c r="R98" s="1639" t="s">
        <v>1536</v>
      </c>
      <c r="S98" s="1646" t="s">
        <v>1571</v>
      </c>
      <c r="T98" s="1665" t="s">
        <v>3544</v>
      </c>
    </row>
    <row r="99" spans="1:20" ht="34.200000000000003" customHeight="1">
      <c r="A99" s="1803"/>
      <c r="B99" s="1889"/>
      <c r="C99" s="1935"/>
      <c r="D99" s="727" t="s">
        <v>1321</v>
      </c>
      <c r="E99" s="706">
        <f>E98</f>
        <v>1.5499999999999998</v>
      </c>
      <c r="F99" s="706">
        <f t="shared" ref="F99:G99" si="35">F98</f>
        <v>1.5499999999999998</v>
      </c>
      <c r="G99" s="706">
        <f t="shared" si="35"/>
        <v>1.4129999999999998</v>
      </c>
      <c r="H99" s="1110">
        <f t="shared" si="31"/>
        <v>0.91161290322580646</v>
      </c>
      <c r="I99" s="1106">
        <f>SUM(I98)</f>
        <v>3.6</v>
      </c>
      <c r="J99" s="1763"/>
      <c r="K99" s="1708"/>
      <c r="L99" s="1646"/>
      <c r="M99" s="1646"/>
      <c r="N99" s="1639"/>
      <c r="O99" s="1639"/>
      <c r="P99" s="1646"/>
      <c r="Q99" s="1646"/>
      <c r="R99" s="1646"/>
      <c r="S99" s="1646"/>
      <c r="T99" s="1671"/>
    </row>
    <row r="100" spans="1:20" ht="19.5" hidden="1" customHeight="1">
      <c r="A100" s="617"/>
      <c r="B100" s="921" t="s">
        <v>1551</v>
      </c>
      <c r="C100" s="1169"/>
      <c r="D100" s="1095"/>
      <c r="E100" s="537">
        <v>1.2</v>
      </c>
      <c r="F100" s="537">
        <v>0.35</v>
      </c>
      <c r="G100" s="537">
        <v>0.35</v>
      </c>
      <c r="H100" s="1159">
        <f t="shared" si="31"/>
        <v>1</v>
      </c>
      <c r="I100" s="541">
        <v>0.45</v>
      </c>
      <c r="J100" s="911"/>
      <c r="K100" s="1508"/>
      <c r="L100" s="1149"/>
      <c r="M100" s="1150"/>
      <c r="N100" s="1150"/>
      <c r="O100" s="1150"/>
      <c r="P100" s="797"/>
      <c r="Q100" s="797"/>
      <c r="R100" s="797"/>
      <c r="S100" s="753"/>
      <c r="T100" s="720"/>
    </row>
    <row r="101" spans="1:20" ht="24.75" hidden="1" customHeight="1">
      <c r="A101" s="617"/>
      <c r="B101" s="921" t="s">
        <v>1552</v>
      </c>
      <c r="C101" s="1169"/>
      <c r="D101" s="1095"/>
      <c r="E101" s="537">
        <v>0.35</v>
      </c>
      <c r="F101" s="537">
        <v>1.2</v>
      </c>
      <c r="G101" s="537">
        <v>1.0629999999999999</v>
      </c>
      <c r="H101" s="1117">
        <f t="shared" si="31"/>
        <v>0.88583333333333336</v>
      </c>
      <c r="I101" s="541">
        <v>3.15</v>
      </c>
      <c r="J101" s="911"/>
      <c r="K101" s="1525"/>
      <c r="L101" s="1149"/>
      <c r="M101" s="1150"/>
      <c r="N101" s="1150"/>
      <c r="O101" s="1150"/>
      <c r="P101" s="797"/>
      <c r="Q101" s="797"/>
      <c r="R101" s="797"/>
      <c r="S101" s="753"/>
      <c r="T101" s="720"/>
    </row>
    <row r="102" spans="1:20" ht="27.75" hidden="1" customHeight="1">
      <c r="A102" s="520"/>
      <c r="B102" s="520" t="s">
        <v>715</v>
      </c>
      <c r="C102" s="504"/>
      <c r="D102" s="504"/>
      <c r="E102" s="1151"/>
      <c r="F102" s="1151"/>
      <c r="G102" s="1151"/>
      <c r="H102" s="1141" t="e">
        <f t="shared" si="31"/>
        <v>#DIV/0!</v>
      </c>
      <c r="I102" s="534"/>
      <c r="J102" s="720"/>
      <c r="K102" s="1533" t="s">
        <v>2706</v>
      </c>
      <c r="L102" s="1113"/>
      <c r="M102" s="1118"/>
      <c r="N102" s="1118"/>
      <c r="O102" s="1118"/>
      <c r="P102" s="797"/>
      <c r="Q102" s="797"/>
      <c r="R102" s="797"/>
      <c r="S102" s="755"/>
      <c r="T102" s="657"/>
    </row>
    <row r="103" spans="1:20" ht="28.95" customHeight="1">
      <c r="A103" s="1767" t="s">
        <v>2002</v>
      </c>
      <c r="B103" s="1895" t="s">
        <v>1400</v>
      </c>
      <c r="C103" s="1937" t="s">
        <v>1325</v>
      </c>
      <c r="D103" s="733" t="s">
        <v>668</v>
      </c>
      <c r="E103" s="734">
        <f>SUM(E105,E107)</f>
        <v>40.4</v>
      </c>
      <c r="F103" s="734">
        <f t="shared" ref="F103:G103" si="36">SUM(F105,F107)</f>
        <v>37.32</v>
      </c>
      <c r="G103" s="734">
        <f t="shared" si="36"/>
        <v>37.32</v>
      </c>
      <c r="H103" s="1141">
        <f t="shared" si="31"/>
        <v>1</v>
      </c>
      <c r="I103" s="810">
        <f>SUM(I105:I107)</f>
        <v>63.08</v>
      </c>
      <c r="J103" s="1762" t="s">
        <v>2223</v>
      </c>
      <c r="K103" s="1640" t="s">
        <v>3108</v>
      </c>
      <c r="L103" s="1639" t="s">
        <v>3510</v>
      </c>
      <c r="M103" s="1639" t="s">
        <v>3109</v>
      </c>
      <c r="N103" s="1637" t="s">
        <v>469</v>
      </c>
      <c r="O103" s="1637" t="s">
        <v>469</v>
      </c>
      <c r="P103" s="1639" t="s">
        <v>469</v>
      </c>
      <c r="Q103" s="1639" t="s">
        <v>469</v>
      </c>
      <c r="R103" s="1639" t="s">
        <v>469</v>
      </c>
      <c r="S103" s="1637" t="s">
        <v>2224</v>
      </c>
      <c r="T103" s="1665" t="s">
        <v>3544</v>
      </c>
    </row>
    <row r="104" spans="1:20" ht="37.950000000000003" customHeight="1">
      <c r="A104" s="1803"/>
      <c r="B104" s="1889"/>
      <c r="C104" s="1935"/>
      <c r="D104" s="727" t="s">
        <v>1321</v>
      </c>
      <c r="E104" s="706">
        <f>E103</f>
        <v>40.4</v>
      </c>
      <c r="F104" s="706">
        <f t="shared" ref="F104:G104" si="37">F103</f>
        <v>37.32</v>
      </c>
      <c r="G104" s="706">
        <f t="shared" si="37"/>
        <v>37.32</v>
      </c>
      <c r="H104" s="1110">
        <f t="shared" si="31"/>
        <v>1</v>
      </c>
      <c r="I104" s="1106">
        <f>SUM(I103)</f>
        <v>63.08</v>
      </c>
      <c r="J104" s="1763"/>
      <c r="K104" s="1708"/>
      <c r="L104" s="1646"/>
      <c r="M104" s="1646"/>
      <c r="N104" s="1639"/>
      <c r="O104" s="1639"/>
      <c r="P104" s="1646"/>
      <c r="Q104" s="1646"/>
      <c r="R104" s="1646"/>
      <c r="S104" s="1639"/>
      <c r="T104" s="1671"/>
    </row>
    <row r="105" spans="1:20" ht="21.75" hidden="1" customHeight="1">
      <c r="A105" s="617"/>
      <c r="B105" s="921" t="s">
        <v>1551</v>
      </c>
      <c r="C105" s="1169"/>
      <c r="D105" s="1152"/>
      <c r="E105" s="537">
        <v>40</v>
      </c>
      <c r="F105" s="537">
        <v>36.92</v>
      </c>
      <c r="G105" s="537">
        <v>36.92</v>
      </c>
      <c r="H105" s="1117">
        <f t="shared" si="31"/>
        <v>1</v>
      </c>
      <c r="I105" s="541">
        <v>50</v>
      </c>
      <c r="J105" s="911"/>
      <c r="K105" s="1508"/>
      <c r="L105" s="1149"/>
      <c r="M105" s="1149"/>
      <c r="N105" s="1149"/>
      <c r="O105" s="1149"/>
      <c r="P105" s="835"/>
      <c r="Q105" s="835"/>
      <c r="R105" s="835"/>
      <c r="S105" s="483"/>
      <c r="T105" s="720"/>
    </row>
    <row r="106" spans="1:20" ht="34.5" hidden="1" customHeight="1">
      <c r="A106" s="617"/>
      <c r="B106" s="1107" t="s">
        <v>1550</v>
      </c>
      <c r="C106" s="1165"/>
      <c r="D106" s="1153"/>
      <c r="E106" s="537">
        <v>8</v>
      </c>
      <c r="F106" s="537"/>
      <c r="G106" s="537"/>
      <c r="H106" s="1117" t="e">
        <f t="shared" si="31"/>
        <v>#DIV/0!</v>
      </c>
      <c r="I106" s="541">
        <v>12</v>
      </c>
      <c r="J106" s="911"/>
      <c r="K106" s="1525"/>
      <c r="L106" s="1149"/>
      <c r="M106" s="1109"/>
      <c r="N106" s="1109"/>
      <c r="O106" s="1109"/>
      <c r="P106" s="533"/>
      <c r="Q106" s="533"/>
      <c r="R106" s="533"/>
      <c r="S106" s="1154"/>
      <c r="T106" s="720"/>
    </row>
    <row r="107" spans="1:20" ht="21" hidden="1" customHeight="1">
      <c r="A107" s="617"/>
      <c r="B107" s="921" t="s">
        <v>1552</v>
      </c>
      <c r="C107" s="1169"/>
      <c r="D107" s="1152"/>
      <c r="E107" s="537">
        <v>0.4</v>
      </c>
      <c r="F107" s="537">
        <v>0.4</v>
      </c>
      <c r="G107" s="537">
        <v>0.4</v>
      </c>
      <c r="H107" s="1117">
        <f t="shared" si="31"/>
        <v>1</v>
      </c>
      <c r="I107" s="1130">
        <v>1.08</v>
      </c>
      <c r="J107" s="911"/>
      <c r="K107" s="1508"/>
      <c r="L107" s="1149"/>
      <c r="M107" s="1149"/>
      <c r="N107" s="1149"/>
      <c r="O107" s="1149"/>
      <c r="P107" s="835"/>
      <c r="Q107" s="835"/>
      <c r="R107" s="835"/>
      <c r="S107" s="483"/>
      <c r="T107" s="720"/>
    </row>
    <row r="108" spans="1:20" ht="31.95" customHeight="1">
      <c r="A108" s="1803" t="s">
        <v>2003</v>
      </c>
      <c r="B108" s="1889" t="s">
        <v>1399</v>
      </c>
      <c r="C108" s="1935" t="s">
        <v>1325</v>
      </c>
      <c r="D108" s="724" t="s">
        <v>668</v>
      </c>
      <c r="E108" s="734">
        <f>SUM(E110,E111,E112,)</f>
        <v>30</v>
      </c>
      <c r="F108" s="734">
        <f t="shared" ref="F108:G108" si="38">SUM(F110,F111,F112,)</f>
        <v>38.658000000000001</v>
      </c>
      <c r="G108" s="734">
        <f t="shared" si="38"/>
        <v>38.620000000000005</v>
      </c>
      <c r="H108" s="1141">
        <f t="shared" si="31"/>
        <v>0.99901702105644374</v>
      </c>
      <c r="I108" s="810">
        <f>SUM(I110:I112)</f>
        <v>35.75</v>
      </c>
      <c r="J108" s="1762" t="s">
        <v>2223</v>
      </c>
      <c r="K108" s="1640" t="s">
        <v>3648</v>
      </c>
      <c r="L108" s="1639" t="s">
        <v>3511</v>
      </c>
      <c r="M108" s="1639" t="s">
        <v>3110</v>
      </c>
      <c r="N108" s="1637" t="s">
        <v>449</v>
      </c>
      <c r="O108" s="1637" t="s">
        <v>3649</v>
      </c>
      <c r="P108" s="1637" t="s">
        <v>469</v>
      </c>
      <c r="Q108" s="1637" t="s">
        <v>469</v>
      </c>
      <c r="R108" s="1637" t="s">
        <v>469</v>
      </c>
      <c r="S108" s="1637" t="s">
        <v>2224</v>
      </c>
      <c r="T108" s="1665" t="s">
        <v>3545</v>
      </c>
    </row>
    <row r="109" spans="1:20" ht="35.5" customHeight="1">
      <c r="A109" s="1803"/>
      <c r="B109" s="1890"/>
      <c r="C109" s="1936"/>
      <c r="D109" s="730" t="s">
        <v>1321</v>
      </c>
      <c r="E109" s="731">
        <f>E108</f>
        <v>30</v>
      </c>
      <c r="F109" s="731">
        <f t="shared" ref="F109:G109" si="39">F108</f>
        <v>38.658000000000001</v>
      </c>
      <c r="G109" s="731">
        <f t="shared" si="39"/>
        <v>38.620000000000005</v>
      </c>
      <c r="H109" s="1110">
        <f t="shared" si="31"/>
        <v>0.99901702105644374</v>
      </c>
      <c r="I109" s="1097">
        <f>SUM(I108)</f>
        <v>35.75</v>
      </c>
      <c r="J109" s="1763"/>
      <c r="K109" s="1708"/>
      <c r="L109" s="1646"/>
      <c r="M109" s="1646"/>
      <c r="N109" s="1639"/>
      <c r="O109" s="1639"/>
      <c r="P109" s="1639"/>
      <c r="Q109" s="1639"/>
      <c r="R109" s="1639"/>
      <c r="S109" s="1639"/>
      <c r="T109" s="1671"/>
    </row>
    <row r="110" spans="1:20" ht="20.149999999999999" hidden="1" customHeight="1">
      <c r="A110" s="617"/>
      <c r="B110" s="1107" t="s">
        <v>1550</v>
      </c>
      <c r="C110" s="1165"/>
      <c r="D110" s="1153"/>
      <c r="E110" s="537">
        <v>8</v>
      </c>
      <c r="F110" s="537">
        <v>8</v>
      </c>
      <c r="G110" s="537">
        <v>7.9619999999999997</v>
      </c>
      <c r="H110" s="1117">
        <f t="shared" si="31"/>
        <v>0.99524999999999997</v>
      </c>
      <c r="I110" s="534"/>
      <c r="J110" s="720"/>
      <c r="K110" s="1524"/>
      <c r="L110" s="1113"/>
      <c r="M110" s="1155"/>
      <c r="N110" s="1155"/>
      <c r="O110" s="1155"/>
      <c r="P110" s="533"/>
      <c r="Q110" s="533"/>
      <c r="R110" s="533"/>
      <c r="S110" s="1154"/>
      <c r="T110" s="720"/>
    </row>
    <row r="111" spans="1:20" ht="20.149999999999999" hidden="1" customHeight="1">
      <c r="A111" s="617"/>
      <c r="B111" s="1107" t="s">
        <v>1551</v>
      </c>
      <c r="C111" s="1165"/>
      <c r="D111" s="1153"/>
      <c r="E111" s="537">
        <v>21.5</v>
      </c>
      <c r="F111" s="537">
        <v>30.158000000000001</v>
      </c>
      <c r="G111" s="537">
        <v>30.158000000000001</v>
      </c>
      <c r="H111" s="1117">
        <f t="shared" si="31"/>
        <v>1</v>
      </c>
      <c r="I111" s="534">
        <v>35</v>
      </c>
      <c r="J111" s="720"/>
      <c r="K111" s="1524"/>
      <c r="L111" s="1113"/>
      <c r="M111" s="1155"/>
      <c r="N111" s="1155"/>
      <c r="O111" s="1155"/>
      <c r="P111" s="533"/>
      <c r="Q111" s="533"/>
      <c r="R111" s="533"/>
      <c r="S111" s="1154"/>
      <c r="T111" s="720"/>
    </row>
    <row r="112" spans="1:20" ht="20.149999999999999" hidden="1" customHeight="1">
      <c r="A112" s="957"/>
      <c r="B112" s="1111" t="s">
        <v>1552</v>
      </c>
      <c r="C112" s="722"/>
      <c r="D112" s="1112"/>
      <c r="E112" s="537">
        <v>0.5</v>
      </c>
      <c r="F112" s="537">
        <v>0.5</v>
      </c>
      <c r="G112" s="537">
        <v>0.5</v>
      </c>
      <c r="H112" s="1117">
        <f t="shared" si="31"/>
        <v>1</v>
      </c>
      <c r="I112" s="534">
        <v>0.75</v>
      </c>
      <c r="J112" s="720"/>
      <c r="K112" s="1524"/>
      <c r="L112" s="1113"/>
      <c r="M112" s="1155"/>
      <c r="N112" s="1155"/>
      <c r="O112" s="1155"/>
      <c r="P112" s="533"/>
      <c r="Q112" s="533"/>
      <c r="R112" s="533"/>
      <c r="S112" s="1154"/>
      <c r="T112" s="720"/>
    </row>
    <row r="113" spans="1:22" ht="63" customHeight="1">
      <c r="A113" s="1697"/>
      <c r="B113" s="1697"/>
      <c r="C113" s="1697"/>
      <c r="D113" s="1697"/>
      <c r="E113" s="640" t="s">
        <v>2857</v>
      </c>
      <c r="F113" s="640" t="s">
        <v>2856</v>
      </c>
      <c r="G113" s="640" t="s">
        <v>2858</v>
      </c>
      <c r="H113" s="1178" t="s">
        <v>2870</v>
      </c>
      <c r="I113" s="1179" t="str">
        <f>I14</f>
        <v>2024  m.asignavimų poreikis</v>
      </c>
      <c r="J113" s="1920"/>
      <c r="K113" s="1872"/>
      <c r="L113" s="1872"/>
      <c r="M113" s="1872"/>
      <c r="N113" s="1872"/>
      <c r="O113" s="1872"/>
      <c r="P113" s="1872"/>
      <c r="Q113" s="1872"/>
      <c r="R113" s="1872"/>
      <c r="S113" s="1872"/>
      <c r="T113" s="1873"/>
    </row>
    <row r="114" spans="1:22" ht="27" customHeight="1">
      <c r="A114" s="1691" t="s">
        <v>986</v>
      </c>
      <c r="B114" s="1691"/>
      <c r="C114" s="1691"/>
      <c r="D114" s="1691"/>
      <c r="E114" s="703">
        <f>E115+E116+E118+E119+E120+E121</f>
        <v>1710.9120000000003</v>
      </c>
      <c r="F114" s="703">
        <f t="shared" ref="F114:G114" si="40">F115+F116+F118+F119+F120+F121</f>
        <v>1694.4570000000001</v>
      </c>
      <c r="G114" s="703">
        <f t="shared" si="40"/>
        <v>1625.2930000000001</v>
      </c>
      <c r="H114" s="1141">
        <f t="shared" si="31"/>
        <v>0.95918220409252053</v>
      </c>
      <c r="I114" s="1180">
        <f>SUM(I115:I121)</f>
        <v>2079.4909999999995</v>
      </c>
      <c r="J114" s="1735"/>
      <c r="K114" s="1735"/>
      <c r="L114" s="1735"/>
      <c r="M114" s="1735"/>
      <c r="N114" s="1735"/>
      <c r="O114" s="1735"/>
      <c r="P114" s="1735"/>
      <c r="Q114" s="1735"/>
      <c r="R114" s="1735"/>
      <c r="S114" s="1735"/>
      <c r="T114" s="649"/>
    </row>
    <row r="115" spans="1:22" ht="34.950000000000003" customHeight="1">
      <c r="A115" s="1692" t="s">
        <v>3272</v>
      </c>
      <c r="B115" s="1692"/>
      <c r="C115" s="1692"/>
      <c r="D115" s="1692"/>
      <c r="E115" s="701">
        <f>SUM(E17,E37,E41,E45,E48,E52,E57,E62,E66,E70,E82,E88,E92,E98,E103,E108)</f>
        <v>1631.9900000000002</v>
      </c>
      <c r="F115" s="701">
        <f>SUM(F17,F37,F41,F45,F48,F52,F57,F62,F66,F70,F82,F88,F92,F98,F103,F108)</f>
        <v>1628.905</v>
      </c>
      <c r="G115" s="701">
        <f>SUM(G17,G37,G41,G45,G48,G52,G57,G62,G66,G70,G82,G88,G92,G98,G103,G108)</f>
        <v>1559.9470000000001</v>
      </c>
      <c r="H115" s="1141">
        <f t="shared" si="31"/>
        <v>0.95766603945595363</v>
      </c>
      <c r="I115" s="1180">
        <f>SUM(I17,I37,I41,I45,I48,I52,I57,I62,I66,I70,I82,I88,I92,I98,I103,I108,)</f>
        <v>2014.1109999999996</v>
      </c>
      <c r="J115" s="1735"/>
      <c r="K115" s="1735"/>
      <c r="L115" s="1735"/>
      <c r="M115" s="1735"/>
      <c r="N115" s="1735"/>
      <c r="O115" s="1735"/>
      <c r="P115" s="1735"/>
      <c r="Q115" s="1735"/>
      <c r="R115" s="1735"/>
      <c r="S115" s="1735"/>
      <c r="T115" s="649"/>
    </row>
    <row r="116" spans="1:22" ht="27" customHeight="1">
      <c r="A116" s="1692" t="s">
        <v>988</v>
      </c>
      <c r="B116" s="1692"/>
      <c r="C116" s="1692"/>
      <c r="D116" s="1692"/>
      <c r="E116" s="701">
        <f>SUM(E20)</f>
        <v>23.091999999999999</v>
      </c>
      <c r="F116" s="701">
        <f>SUM(F20)</f>
        <v>23.091999999999999</v>
      </c>
      <c r="G116" s="701">
        <f>SUM(G20)</f>
        <v>23.091999999999999</v>
      </c>
      <c r="H116" s="1141">
        <f t="shared" si="31"/>
        <v>1</v>
      </c>
      <c r="I116" s="810">
        <f>SUM(I20)</f>
        <v>23.78</v>
      </c>
      <c r="J116" s="1735"/>
      <c r="K116" s="1735"/>
      <c r="L116" s="1735"/>
      <c r="M116" s="1735"/>
      <c r="N116" s="1735"/>
      <c r="O116" s="1735"/>
      <c r="P116" s="1735"/>
      <c r="Q116" s="1735"/>
      <c r="R116" s="1735"/>
      <c r="S116" s="1735"/>
      <c r="T116" s="649"/>
    </row>
    <row r="117" spans="1:22" ht="20.149999999999999" hidden="1" customHeight="1">
      <c r="A117" s="657"/>
      <c r="B117" s="1897" t="s">
        <v>2596</v>
      </c>
      <c r="C117" s="1897"/>
      <c r="D117" s="1897"/>
      <c r="E117" s="719"/>
      <c r="F117" s="1181"/>
      <c r="G117" s="1181"/>
      <c r="H117" s="1141" t="e">
        <f t="shared" si="31"/>
        <v>#DIV/0!</v>
      </c>
      <c r="I117" s="974"/>
      <c r="J117" s="1735"/>
      <c r="K117" s="1735"/>
      <c r="L117" s="1735"/>
      <c r="M117" s="1735"/>
      <c r="N117" s="1735"/>
      <c r="O117" s="1735"/>
      <c r="P117" s="1735"/>
      <c r="Q117" s="1735"/>
      <c r="R117" s="1735"/>
      <c r="S117" s="1735"/>
      <c r="T117" s="649"/>
    </row>
    <row r="118" spans="1:22" ht="24" customHeight="1">
      <c r="A118" s="1692" t="s">
        <v>989</v>
      </c>
      <c r="B118" s="1692"/>
      <c r="C118" s="1692"/>
      <c r="D118" s="1692"/>
      <c r="E118" s="701">
        <f>SUM(E18)</f>
        <v>55.830000000000005</v>
      </c>
      <c r="F118" s="701">
        <f>SUM(F18)</f>
        <v>42.46</v>
      </c>
      <c r="G118" s="701">
        <f>SUM(G18)</f>
        <v>42.253999999999998</v>
      </c>
      <c r="H118" s="1141">
        <f t="shared" si="31"/>
        <v>0.99514837494112096</v>
      </c>
      <c r="I118" s="810">
        <f>SUM(I18)</f>
        <v>41.6</v>
      </c>
      <c r="J118" s="1735"/>
      <c r="K118" s="1735"/>
      <c r="L118" s="1735"/>
      <c r="M118" s="1735"/>
      <c r="N118" s="1735"/>
      <c r="O118" s="1735"/>
      <c r="P118" s="1735"/>
      <c r="Q118" s="1735"/>
      <c r="R118" s="1735"/>
      <c r="S118" s="1735"/>
      <c r="T118" s="649"/>
      <c r="V118" s="389"/>
    </row>
    <row r="119" spans="1:22" ht="28.95" customHeight="1">
      <c r="A119" s="1692" t="s">
        <v>2695</v>
      </c>
      <c r="B119" s="1692"/>
      <c r="C119" s="1692"/>
      <c r="D119" s="1692"/>
      <c r="E119" s="701">
        <v>0</v>
      </c>
      <c r="F119" s="701">
        <v>0</v>
      </c>
      <c r="G119" s="701">
        <v>0</v>
      </c>
      <c r="H119" s="1141"/>
      <c r="I119" s="810">
        <f>SUM(I21,I83,)</f>
        <v>0</v>
      </c>
      <c r="J119" s="1735"/>
      <c r="K119" s="1735"/>
      <c r="L119" s="1735"/>
      <c r="M119" s="1735"/>
      <c r="N119" s="1735"/>
      <c r="O119" s="1735"/>
      <c r="P119" s="1735"/>
      <c r="Q119" s="1735"/>
      <c r="R119" s="1735"/>
      <c r="S119" s="1735"/>
      <c r="T119" s="649"/>
    </row>
    <row r="120" spans="1:22" ht="26.25" customHeight="1">
      <c r="A120" s="1692" t="s">
        <v>990</v>
      </c>
      <c r="B120" s="1692"/>
      <c r="C120" s="1692"/>
      <c r="D120" s="1692"/>
      <c r="E120" s="701">
        <v>0</v>
      </c>
      <c r="F120" s="701">
        <v>0</v>
      </c>
      <c r="G120" s="701">
        <v>0</v>
      </c>
      <c r="H120" s="1141"/>
      <c r="I120" s="810">
        <v>0</v>
      </c>
      <c r="J120" s="1735"/>
      <c r="K120" s="1735"/>
      <c r="L120" s="1735"/>
      <c r="M120" s="1735"/>
      <c r="N120" s="1735"/>
      <c r="O120" s="1735"/>
      <c r="P120" s="1735"/>
      <c r="Q120" s="1735"/>
      <c r="R120" s="1735"/>
      <c r="S120" s="1735"/>
      <c r="T120" s="649"/>
    </row>
    <row r="121" spans="1:22" ht="28.5" hidden="1" customHeight="1">
      <c r="A121" s="1692" t="s">
        <v>991</v>
      </c>
      <c r="B121" s="1692"/>
      <c r="C121" s="1692"/>
      <c r="D121" s="1692"/>
      <c r="E121" s="701">
        <v>0</v>
      </c>
      <c r="F121" s="701">
        <v>0</v>
      </c>
      <c r="G121" s="701">
        <v>0</v>
      </c>
      <c r="H121" s="1141"/>
      <c r="I121" s="810">
        <v>0</v>
      </c>
      <c r="J121" s="1735"/>
      <c r="K121" s="1735"/>
      <c r="L121" s="1735"/>
      <c r="M121" s="1735"/>
      <c r="N121" s="1735"/>
      <c r="O121" s="1735"/>
      <c r="P121" s="1735"/>
      <c r="Q121" s="1735"/>
      <c r="R121" s="1735"/>
      <c r="S121" s="1735"/>
      <c r="T121" s="649"/>
    </row>
    <row r="122" spans="1:22" ht="34.5" customHeight="1">
      <c r="A122" s="1691" t="s">
        <v>992</v>
      </c>
      <c r="B122" s="1691"/>
      <c r="C122" s="1691"/>
      <c r="D122" s="1691"/>
      <c r="E122" s="701">
        <v>0</v>
      </c>
      <c r="F122" s="701">
        <f>F22+F58</f>
        <v>218.70600000000002</v>
      </c>
      <c r="G122" s="701">
        <f>G22+G58</f>
        <v>176.80500000000001</v>
      </c>
      <c r="H122" s="1141">
        <f t="shared" si="31"/>
        <v>0.80841403528023914</v>
      </c>
      <c r="I122" s="810">
        <v>0</v>
      </c>
      <c r="J122" s="1735"/>
      <c r="K122" s="1735"/>
      <c r="L122" s="1735"/>
      <c r="M122" s="1735"/>
      <c r="N122" s="1735"/>
      <c r="O122" s="1735"/>
      <c r="P122" s="1735"/>
      <c r="Q122" s="1735"/>
      <c r="R122" s="1735"/>
      <c r="S122" s="1735"/>
      <c r="T122" s="649"/>
    </row>
    <row r="123" spans="1:22" ht="33.65" customHeight="1">
      <c r="A123" s="1691" t="s">
        <v>1334</v>
      </c>
      <c r="B123" s="1691"/>
      <c r="C123" s="1691"/>
      <c r="D123" s="1691"/>
      <c r="E123" s="703">
        <f>SUM(E114,E122)</f>
        <v>1710.9120000000003</v>
      </c>
      <c r="F123" s="703">
        <f t="shared" ref="F123:G123" si="41">SUM(F114,F122)</f>
        <v>1913.163</v>
      </c>
      <c r="G123" s="703">
        <f t="shared" si="41"/>
        <v>1802.0980000000002</v>
      </c>
      <c r="H123" s="1141">
        <f t="shared" si="31"/>
        <v>0.94194692245250411</v>
      </c>
      <c r="I123" s="1182">
        <f>SUM(I114,I122)</f>
        <v>2079.4909999999995</v>
      </c>
      <c r="J123" s="1735"/>
      <c r="K123" s="1735"/>
      <c r="L123" s="1735"/>
      <c r="M123" s="1735"/>
      <c r="N123" s="1735"/>
      <c r="O123" s="1735"/>
      <c r="P123" s="1735"/>
      <c r="Q123" s="1735"/>
      <c r="R123" s="1735"/>
      <c r="S123" s="1735"/>
      <c r="T123" s="649"/>
    </row>
    <row r="124" spans="1:22" ht="28.5" hidden="1" customHeight="1">
      <c r="A124" s="1691" t="s">
        <v>1948</v>
      </c>
      <c r="B124" s="1691"/>
      <c r="C124" s="1691"/>
      <c r="D124" s="1691"/>
      <c r="E124" s="703">
        <v>0</v>
      </c>
      <c r="F124" s="703">
        <v>0</v>
      </c>
      <c r="G124" s="703">
        <v>0</v>
      </c>
      <c r="H124" s="1141"/>
      <c r="I124" s="1182">
        <v>0</v>
      </c>
      <c r="J124" s="1735"/>
      <c r="K124" s="1735"/>
      <c r="L124" s="1735"/>
      <c r="M124" s="1735"/>
      <c r="N124" s="1735"/>
      <c r="O124" s="1735"/>
      <c r="P124" s="1735"/>
      <c r="Q124" s="1735"/>
      <c r="R124" s="1735"/>
      <c r="S124" s="1735"/>
      <c r="T124" s="649"/>
    </row>
    <row r="125" spans="1:22" ht="36.65" hidden="1" customHeight="1">
      <c r="A125" s="649"/>
      <c r="B125" s="1672" t="s">
        <v>993</v>
      </c>
      <c r="C125" s="1672"/>
      <c r="D125" s="1672"/>
      <c r="E125" s="1180">
        <v>0</v>
      </c>
      <c r="F125" s="1182"/>
      <c r="G125" s="1182"/>
      <c r="H125" s="1182"/>
      <c r="I125" s="1182">
        <v>0</v>
      </c>
      <c r="J125" s="1735"/>
      <c r="K125" s="1735"/>
      <c r="L125" s="1735"/>
      <c r="M125" s="1735"/>
      <c r="N125" s="1735"/>
      <c r="O125" s="1735"/>
      <c r="P125" s="1735"/>
      <c r="Q125" s="1735"/>
      <c r="R125" s="1735"/>
      <c r="S125" s="1735"/>
      <c r="T125" s="649"/>
    </row>
    <row r="126" spans="1:22">
      <c r="E126" s="374"/>
      <c r="F126" s="374"/>
      <c r="G126" s="374"/>
      <c r="H126" s="374"/>
    </row>
    <row r="127" spans="1:22" hidden="1">
      <c r="E127" s="374"/>
      <c r="F127" s="1451">
        <v>1671.365</v>
      </c>
      <c r="G127" s="1451">
        <v>1602.201</v>
      </c>
      <c r="H127" s="374"/>
    </row>
    <row r="128" spans="1:22" ht="25.95" hidden="1" customHeight="1">
      <c r="E128" s="374"/>
      <c r="F128" s="1452">
        <f>F127-F115-F118</f>
        <v>0</v>
      </c>
      <c r="G128" s="1452">
        <f>G127-G115-G118</f>
        <v>-9.2370555648813024E-14</v>
      </c>
      <c r="H128" s="374"/>
    </row>
    <row r="129" spans="1:11" ht="33" hidden="1" customHeight="1">
      <c r="A129" s="371"/>
      <c r="B129" s="393"/>
      <c r="E129" s="552"/>
      <c r="F129" s="552"/>
      <c r="G129" s="392"/>
      <c r="H129" s="392"/>
      <c r="I129" s="392"/>
      <c r="K129" s="1534"/>
    </row>
    <row r="130" spans="1:11">
      <c r="A130" s="371"/>
      <c r="B130" s="371"/>
      <c r="C130" s="371"/>
      <c r="D130" s="371"/>
      <c r="E130" s="371"/>
      <c r="F130" s="371"/>
      <c r="G130" s="371"/>
      <c r="H130" s="371"/>
      <c r="I130" s="371"/>
      <c r="K130" s="1520"/>
    </row>
    <row r="131" spans="1:11">
      <c r="A131" s="371"/>
      <c r="B131" s="371"/>
      <c r="C131" s="371"/>
      <c r="D131" s="371"/>
      <c r="E131" s="371"/>
      <c r="F131" s="371"/>
      <c r="G131" s="371"/>
      <c r="H131" s="371"/>
      <c r="I131" s="371"/>
      <c r="K131" s="1520"/>
    </row>
    <row r="132" spans="1:11">
      <c r="A132" s="371"/>
      <c r="B132" s="371"/>
      <c r="C132" s="371"/>
      <c r="D132" s="371"/>
      <c r="E132" s="371"/>
      <c r="F132" s="371"/>
      <c r="G132" s="371"/>
      <c r="H132" s="371"/>
      <c r="I132" s="371"/>
      <c r="K132" s="1520"/>
    </row>
    <row r="133" spans="1:11">
      <c r="A133" s="371"/>
      <c r="B133" s="371"/>
      <c r="C133" s="371"/>
      <c r="D133" s="371"/>
      <c r="E133" s="371"/>
      <c r="F133" s="371"/>
      <c r="G133" s="371"/>
      <c r="H133" s="371"/>
      <c r="I133" s="371"/>
      <c r="K133" s="1520"/>
    </row>
    <row r="134" spans="1:11">
      <c r="A134" s="371"/>
      <c r="B134" s="371"/>
      <c r="C134" s="371"/>
      <c r="D134" s="371"/>
      <c r="E134" s="371"/>
      <c r="F134" s="371"/>
      <c r="G134" s="371"/>
      <c r="H134" s="371"/>
      <c r="I134" s="371"/>
      <c r="K134" s="1520"/>
    </row>
    <row r="135" spans="1:11">
      <c r="A135" s="371"/>
      <c r="B135" s="371"/>
      <c r="C135" s="371"/>
      <c r="D135" s="371"/>
      <c r="E135" s="371"/>
      <c r="F135" s="371"/>
      <c r="G135" s="371"/>
      <c r="H135" s="371"/>
      <c r="I135" s="371"/>
      <c r="K135" s="1520"/>
    </row>
    <row r="136" spans="1:11">
      <c r="A136" s="371"/>
      <c r="B136" s="371"/>
      <c r="C136" s="371"/>
      <c r="D136" s="371"/>
      <c r="E136" s="371"/>
      <c r="F136" s="371"/>
      <c r="G136" s="371"/>
      <c r="H136" s="371"/>
      <c r="I136" s="371"/>
      <c r="K136" s="1520"/>
    </row>
    <row r="137" spans="1:11">
      <c r="A137" s="371"/>
      <c r="B137" s="371"/>
      <c r="C137" s="371"/>
      <c r="D137" s="371"/>
      <c r="E137" s="371"/>
      <c r="F137" s="371"/>
      <c r="G137" s="371"/>
      <c r="H137" s="371"/>
      <c r="I137" s="371"/>
      <c r="K137" s="1520"/>
    </row>
    <row r="138" spans="1:11">
      <c r="A138" s="371"/>
      <c r="B138" s="371"/>
      <c r="C138" s="371"/>
      <c r="D138" s="371"/>
      <c r="E138" s="371"/>
      <c r="F138" s="371"/>
      <c r="G138" s="371"/>
      <c r="H138" s="371"/>
      <c r="I138" s="371"/>
      <c r="K138" s="1520"/>
    </row>
    <row r="139" spans="1:11">
      <c r="A139" s="371"/>
      <c r="B139" s="371"/>
      <c r="C139" s="371"/>
      <c r="D139" s="371"/>
      <c r="E139" s="371"/>
      <c r="F139" s="371"/>
      <c r="G139" s="371"/>
      <c r="H139" s="371"/>
      <c r="I139" s="371"/>
      <c r="K139" s="1520"/>
    </row>
    <row r="140" spans="1:11">
      <c r="A140" s="371"/>
      <c r="B140" s="371"/>
      <c r="C140" s="371"/>
      <c r="D140" s="371"/>
      <c r="E140" s="371"/>
      <c r="F140" s="371"/>
      <c r="G140" s="371"/>
      <c r="H140" s="371"/>
      <c r="I140" s="371"/>
      <c r="K140" s="1520"/>
    </row>
    <row r="141" spans="1:11">
      <c r="A141" s="371"/>
      <c r="B141" s="371"/>
      <c r="C141" s="371"/>
      <c r="D141" s="371"/>
      <c r="E141" s="371"/>
      <c r="F141" s="371"/>
      <c r="G141" s="371"/>
      <c r="H141" s="371"/>
      <c r="I141" s="371"/>
      <c r="K141" s="1520"/>
    </row>
    <row r="142" spans="1:11">
      <c r="A142" s="371"/>
      <c r="B142" s="371"/>
      <c r="C142" s="371"/>
      <c r="D142" s="371"/>
      <c r="E142" s="371"/>
      <c r="F142" s="371"/>
      <c r="G142" s="371"/>
      <c r="H142" s="371"/>
      <c r="I142" s="371"/>
      <c r="K142" s="1520"/>
    </row>
    <row r="143" spans="1:11">
      <c r="A143" s="371"/>
      <c r="B143" s="371"/>
      <c r="C143" s="371"/>
      <c r="D143" s="371"/>
      <c r="E143" s="371"/>
      <c r="F143" s="371"/>
      <c r="G143" s="371"/>
      <c r="H143" s="371"/>
      <c r="I143" s="371"/>
      <c r="K143" s="1520"/>
    </row>
    <row r="144" spans="1:11">
      <c r="A144" s="371"/>
      <c r="B144" s="371"/>
      <c r="C144" s="371"/>
      <c r="D144" s="371"/>
      <c r="E144" s="371"/>
      <c r="F144" s="371"/>
      <c r="G144" s="371"/>
      <c r="H144" s="371"/>
      <c r="I144" s="371"/>
      <c r="K144" s="1520"/>
    </row>
    <row r="145" spans="1:11">
      <c r="A145" s="371"/>
      <c r="B145" s="371"/>
      <c r="C145" s="371"/>
      <c r="D145" s="371"/>
      <c r="E145" s="371"/>
      <c r="F145" s="371"/>
      <c r="G145" s="371"/>
      <c r="H145" s="371"/>
      <c r="I145" s="371"/>
      <c r="K145" s="1520"/>
    </row>
    <row r="146" spans="1:11">
      <c r="A146" s="371"/>
      <c r="B146" s="371"/>
      <c r="C146" s="371"/>
      <c r="D146" s="371"/>
      <c r="E146" s="371"/>
      <c r="F146" s="371"/>
      <c r="G146" s="371"/>
      <c r="H146" s="371"/>
      <c r="I146" s="371"/>
      <c r="K146" s="1520"/>
    </row>
    <row r="147" spans="1:11">
      <c r="A147" s="371"/>
      <c r="B147" s="371"/>
      <c r="C147" s="371"/>
      <c r="D147" s="371"/>
      <c r="E147" s="371"/>
      <c r="F147" s="371"/>
      <c r="G147" s="371"/>
      <c r="H147" s="371"/>
      <c r="I147" s="371"/>
      <c r="K147" s="1520"/>
    </row>
    <row r="148" spans="1:11">
      <c r="A148" s="371"/>
      <c r="B148" s="371"/>
      <c r="C148" s="371"/>
      <c r="D148" s="371"/>
      <c r="E148" s="371"/>
      <c r="F148" s="371"/>
      <c r="G148" s="371"/>
      <c r="H148" s="371"/>
      <c r="I148" s="371"/>
      <c r="K148" s="1520"/>
    </row>
    <row r="149" spans="1:11">
      <c r="A149" s="371"/>
      <c r="B149" s="371"/>
      <c r="C149" s="371"/>
      <c r="D149" s="371"/>
      <c r="E149" s="371"/>
      <c r="F149" s="371"/>
      <c r="G149" s="371"/>
      <c r="H149" s="371"/>
      <c r="I149" s="371"/>
      <c r="K149" s="1520"/>
    </row>
    <row r="150" spans="1:11">
      <c r="A150" s="371"/>
      <c r="B150" s="371"/>
      <c r="C150" s="371"/>
      <c r="D150" s="371"/>
      <c r="E150" s="371"/>
      <c r="F150" s="371"/>
      <c r="G150" s="371"/>
      <c r="H150" s="371"/>
      <c r="I150" s="371"/>
      <c r="K150" s="1520"/>
    </row>
    <row r="151" spans="1:11">
      <c r="A151" s="371"/>
      <c r="B151" s="371"/>
      <c r="C151" s="371"/>
      <c r="D151" s="371"/>
      <c r="E151" s="371"/>
      <c r="F151" s="371"/>
      <c r="G151" s="371"/>
      <c r="H151" s="371"/>
      <c r="I151" s="371"/>
      <c r="K151" s="1520"/>
    </row>
    <row r="152" spans="1:11">
      <c r="A152" s="371"/>
      <c r="B152" s="371"/>
      <c r="C152" s="371"/>
      <c r="D152" s="371"/>
      <c r="E152" s="371"/>
      <c r="F152" s="371"/>
      <c r="G152" s="371"/>
      <c r="H152" s="371"/>
      <c r="I152" s="371"/>
      <c r="K152" s="1520"/>
    </row>
    <row r="153" spans="1:11">
      <c r="A153" s="371"/>
      <c r="B153" s="371"/>
      <c r="C153" s="371"/>
      <c r="D153" s="371"/>
      <c r="E153" s="371"/>
      <c r="F153" s="371"/>
      <c r="G153" s="371"/>
      <c r="H153" s="371"/>
      <c r="I153" s="371"/>
      <c r="K153" s="1520"/>
    </row>
    <row r="154" spans="1:11">
      <c r="A154" s="371"/>
      <c r="B154" s="371"/>
      <c r="C154" s="371"/>
      <c r="D154" s="371"/>
      <c r="E154" s="371"/>
      <c r="F154" s="371"/>
      <c r="G154" s="371"/>
      <c r="H154" s="371"/>
      <c r="I154" s="371"/>
      <c r="K154" s="1520"/>
    </row>
    <row r="155" spans="1:11">
      <c r="A155" s="371"/>
      <c r="B155" s="371"/>
      <c r="C155" s="371"/>
      <c r="D155" s="371"/>
      <c r="E155" s="371"/>
      <c r="F155" s="371"/>
      <c r="G155" s="371"/>
      <c r="H155" s="371"/>
      <c r="I155" s="371"/>
      <c r="K155" s="1520"/>
    </row>
    <row r="156" spans="1:11">
      <c r="A156" s="371"/>
      <c r="B156" s="371"/>
      <c r="C156" s="371"/>
      <c r="D156" s="371"/>
      <c r="E156" s="371"/>
      <c r="F156" s="371"/>
      <c r="G156" s="371"/>
      <c r="H156" s="371"/>
      <c r="I156" s="371"/>
      <c r="K156" s="1520"/>
    </row>
    <row r="157" spans="1:11">
      <c r="A157" s="371"/>
      <c r="B157" s="371"/>
      <c r="C157" s="371"/>
      <c r="D157" s="371"/>
      <c r="E157" s="371"/>
      <c r="F157" s="371"/>
      <c r="G157" s="371"/>
      <c r="H157" s="371"/>
      <c r="I157" s="371"/>
      <c r="K157" s="1520"/>
    </row>
    <row r="158" spans="1:11">
      <c r="A158" s="371"/>
      <c r="B158" s="371"/>
      <c r="C158" s="371"/>
      <c r="D158" s="371"/>
      <c r="E158" s="371"/>
      <c r="F158" s="371"/>
      <c r="G158" s="371"/>
      <c r="H158" s="371"/>
      <c r="I158" s="371"/>
      <c r="K158" s="1520"/>
    </row>
    <row r="159" spans="1:11">
      <c r="A159" s="371"/>
      <c r="B159" s="371"/>
      <c r="C159" s="371"/>
      <c r="D159" s="371"/>
      <c r="E159" s="371"/>
      <c r="F159" s="371"/>
      <c r="G159" s="371"/>
      <c r="H159" s="371"/>
      <c r="I159" s="371"/>
      <c r="K159" s="1520"/>
    </row>
    <row r="160" spans="1:11">
      <c r="A160" s="371"/>
      <c r="B160" s="371"/>
      <c r="C160" s="371"/>
      <c r="D160" s="371"/>
      <c r="E160" s="371"/>
      <c r="F160" s="371"/>
      <c r="G160" s="371"/>
      <c r="H160" s="371"/>
      <c r="I160" s="371"/>
      <c r="K160" s="1520"/>
    </row>
    <row r="161" spans="1:11">
      <c r="A161" s="371"/>
      <c r="B161" s="371"/>
      <c r="C161" s="371"/>
      <c r="D161" s="371"/>
      <c r="E161" s="371"/>
      <c r="F161" s="371"/>
      <c r="G161" s="371"/>
      <c r="H161" s="371"/>
      <c r="I161" s="371"/>
      <c r="K161" s="1520"/>
    </row>
    <row r="162" spans="1:11">
      <c r="A162" s="371"/>
      <c r="B162" s="371"/>
      <c r="C162" s="371"/>
      <c r="D162" s="371"/>
      <c r="E162" s="371"/>
      <c r="F162" s="371"/>
      <c r="G162" s="371"/>
      <c r="H162" s="371"/>
      <c r="I162" s="371"/>
      <c r="K162" s="1520"/>
    </row>
    <row r="163" spans="1:11">
      <c r="A163" s="371"/>
      <c r="B163" s="371"/>
      <c r="C163" s="371"/>
      <c r="D163" s="371"/>
      <c r="E163" s="371"/>
      <c r="F163" s="371"/>
      <c r="G163" s="371"/>
      <c r="H163" s="371"/>
      <c r="I163" s="371"/>
      <c r="K163" s="1520"/>
    </row>
    <row r="164" spans="1:11">
      <c r="A164" s="371"/>
      <c r="B164" s="371"/>
      <c r="C164" s="371"/>
      <c r="D164" s="371"/>
      <c r="E164" s="371"/>
      <c r="F164" s="371"/>
      <c r="G164" s="371"/>
      <c r="H164" s="371"/>
      <c r="I164" s="371"/>
      <c r="K164" s="1520"/>
    </row>
    <row r="165" spans="1:11">
      <c r="A165" s="371"/>
      <c r="B165" s="371"/>
      <c r="C165" s="371"/>
      <c r="D165" s="371"/>
      <c r="E165" s="371"/>
      <c r="F165" s="371"/>
      <c r="G165" s="371"/>
      <c r="H165" s="371"/>
      <c r="I165" s="371"/>
      <c r="K165" s="1520"/>
    </row>
    <row r="166" spans="1:11">
      <c r="A166" s="371"/>
      <c r="B166" s="371"/>
      <c r="C166" s="371"/>
      <c r="D166" s="371"/>
      <c r="E166" s="371"/>
      <c r="F166" s="371"/>
      <c r="G166" s="371"/>
      <c r="H166" s="371"/>
      <c r="I166" s="371"/>
      <c r="K166" s="1520"/>
    </row>
    <row r="167" spans="1:11">
      <c r="A167" s="371"/>
      <c r="B167" s="371"/>
      <c r="C167" s="371"/>
      <c r="D167" s="371"/>
      <c r="E167" s="371"/>
      <c r="F167" s="371"/>
      <c r="G167" s="371"/>
      <c r="H167" s="371"/>
      <c r="I167" s="371"/>
      <c r="K167" s="1520"/>
    </row>
    <row r="168" spans="1:11">
      <c r="A168" s="371"/>
      <c r="B168" s="371"/>
      <c r="C168" s="371"/>
      <c r="D168" s="371"/>
      <c r="E168" s="371"/>
      <c r="F168" s="371"/>
      <c r="G168" s="371"/>
      <c r="H168" s="371"/>
      <c r="I168" s="371"/>
      <c r="K168" s="1520"/>
    </row>
    <row r="169" spans="1:11">
      <c r="A169" s="371"/>
      <c r="B169" s="371"/>
      <c r="C169" s="371"/>
      <c r="D169" s="371"/>
      <c r="E169" s="371"/>
      <c r="F169" s="371"/>
      <c r="G169" s="371"/>
      <c r="H169" s="371"/>
      <c r="I169" s="371"/>
      <c r="K169" s="1520"/>
    </row>
    <row r="170" spans="1:11">
      <c r="A170" s="371"/>
      <c r="B170" s="371"/>
      <c r="C170" s="371"/>
      <c r="D170" s="371"/>
      <c r="E170" s="371"/>
      <c r="F170" s="371"/>
      <c r="G170" s="371"/>
      <c r="H170" s="371"/>
      <c r="I170" s="371"/>
      <c r="K170" s="1520"/>
    </row>
    <row r="171" spans="1:11">
      <c r="A171" s="371"/>
      <c r="B171" s="371"/>
      <c r="C171" s="371"/>
      <c r="D171" s="371"/>
      <c r="E171" s="371"/>
      <c r="F171" s="371"/>
      <c r="G171" s="371"/>
      <c r="H171" s="371"/>
      <c r="I171" s="371"/>
      <c r="K171" s="1520"/>
    </row>
    <row r="172" spans="1:11">
      <c r="A172" s="371"/>
      <c r="B172" s="371"/>
      <c r="C172" s="371"/>
      <c r="D172" s="371"/>
      <c r="E172" s="371"/>
      <c r="F172" s="371"/>
      <c r="G172" s="371"/>
      <c r="H172" s="371"/>
      <c r="I172" s="371"/>
      <c r="K172" s="1520"/>
    </row>
    <row r="173" spans="1:11">
      <c r="A173" s="371"/>
      <c r="B173" s="371"/>
      <c r="C173" s="371"/>
      <c r="D173" s="371"/>
      <c r="E173" s="371"/>
      <c r="F173" s="371"/>
      <c r="G173" s="371"/>
      <c r="H173" s="371"/>
      <c r="I173" s="371"/>
      <c r="K173" s="1520"/>
    </row>
    <row r="174" spans="1:11">
      <c r="A174" s="371"/>
      <c r="B174" s="371"/>
      <c r="C174" s="371"/>
      <c r="D174" s="371"/>
      <c r="E174" s="371"/>
      <c r="F174" s="371"/>
      <c r="G174" s="371"/>
      <c r="H174" s="371"/>
      <c r="I174" s="371"/>
      <c r="K174" s="1520"/>
    </row>
    <row r="175" spans="1:11">
      <c r="A175" s="371"/>
      <c r="B175" s="371"/>
      <c r="C175" s="371"/>
      <c r="D175" s="371"/>
      <c r="E175" s="371"/>
      <c r="F175" s="371"/>
      <c r="G175" s="371"/>
      <c r="H175" s="371"/>
      <c r="I175" s="371"/>
      <c r="K175" s="1520"/>
    </row>
    <row r="176" spans="1:11">
      <c r="A176" s="371"/>
      <c r="B176" s="371"/>
      <c r="C176" s="371"/>
      <c r="D176" s="371"/>
      <c r="E176" s="371"/>
      <c r="F176" s="371"/>
      <c r="G176" s="371"/>
      <c r="H176" s="371"/>
      <c r="I176" s="371"/>
      <c r="K176" s="1520"/>
    </row>
    <row r="177" spans="1:11">
      <c r="A177" s="371"/>
      <c r="B177" s="371"/>
      <c r="C177" s="371"/>
      <c r="D177" s="371"/>
      <c r="E177" s="371"/>
      <c r="F177" s="371"/>
      <c r="G177" s="371"/>
      <c r="H177" s="371"/>
      <c r="I177" s="371"/>
      <c r="K177" s="1520"/>
    </row>
    <row r="178" spans="1:11">
      <c r="E178" s="374"/>
      <c r="F178" s="374"/>
      <c r="G178" s="374"/>
      <c r="H178" s="374"/>
    </row>
    <row r="179" spans="1:11">
      <c r="E179" s="374"/>
      <c r="F179" s="374"/>
      <c r="G179" s="374"/>
      <c r="H179" s="374"/>
    </row>
    <row r="180" spans="1:11">
      <c r="E180" s="374"/>
      <c r="F180" s="374"/>
      <c r="G180" s="374"/>
      <c r="H180" s="374"/>
    </row>
    <row r="181" spans="1:11">
      <c r="E181" s="374"/>
      <c r="F181" s="374"/>
      <c r="G181" s="374"/>
      <c r="H181" s="374"/>
    </row>
    <row r="182" spans="1:11">
      <c r="E182" s="374"/>
      <c r="F182" s="374"/>
      <c r="G182" s="374"/>
      <c r="H182" s="374"/>
    </row>
    <row r="183" spans="1:11">
      <c r="E183" s="374"/>
      <c r="F183" s="374"/>
      <c r="G183" s="374"/>
      <c r="H183" s="374"/>
    </row>
    <row r="184" spans="1:11">
      <c r="E184" s="374"/>
      <c r="F184" s="374"/>
      <c r="G184" s="374"/>
      <c r="H184" s="374"/>
    </row>
    <row r="185" spans="1:11">
      <c r="E185" s="374"/>
      <c r="F185" s="374"/>
      <c r="G185" s="374"/>
      <c r="H185" s="374"/>
    </row>
    <row r="186" spans="1:11">
      <c r="E186" s="374"/>
      <c r="F186" s="374"/>
      <c r="G186" s="374"/>
      <c r="H186" s="374"/>
    </row>
    <row r="187" spans="1:11">
      <c r="E187" s="374"/>
      <c r="F187" s="374"/>
      <c r="G187" s="374"/>
      <c r="H187" s="374"/>
    </row>
    <row r="188" spans="1:11">
      <c r="E188" s="374"/>
      <c r="F188" s="374"/>
      <c r="G188" s="374"/>
      <c r="H188" s="374"/>
    </row>
    <row r="189" spans="1:11">
      <c r="E189" s="374"/>
      <c r="F189" s="374"/>
      <c r="G189" s="374"/>
      <c r="H189" s="374"/>
    </row>
    <row r="190" spans="1:11">
      <c r="E190" s="374"/>
      <c r="F190" s="374"/>
      <c r="G190" s="374"/>
      <c r="H190" s="374"/>
    </row>
    <row r="191" spans="1:11">
      <c r="E191" s="374"/>
      <c r="F191" s="374"/>
      <c r="G191" s="374"/>
      <c r="H191" s="374"/>
    </row>
    <row r="192" spans="1:11">
      <c r="E192" s="374"/>
      <c r="F192" s="374"/>
      <c r="G192" s="374"/>
      <c r="H192" s="374"/>
    </row>
    <row r="193" spans="5:8">
      <c r="E193" s="374"/>
      <c r="F193" s="374"/>
      <c r="G193" s="374"/>
      <c r="H193" s="374"/>
    </row>
    <row r="194" spans="5:8">
      <c r="E194" s="374"/>
      <c r="F194" s="374"/>
      <c r="G194" s="374"/>
      <c r="H194" s="374"/>
    </row>
    <row r="195" spans="5:8">
      <c r="E195" s="374"/>
      <c r="F195" s="374"/>
      <c r="G195" s="374"/>
      <c r="H195" s="374"/>
    </row>
    <row r="196" spans="5:8">
      <c r="E196" s="374"/>
      <c r="F196" s="374"/>
      <c r="G196" s="374"/>
      <c r="H196" s="374"/>
    </row>
    <row r="197" spans="5:8">
      <c r="E197" s="374"/>
      <c r="F197" s="374"/>
      <c r="G197" s="374"/>
      <c r="H197" s="374"/>
    </row>
    <row r="198" spans="5:8">
      <c r="E198" s="374"/>
      <c r="F198" s="374"/>
      <c r="G198" s="374"/>
      <c r="H198" s="374"/>
    </row>
    <row r="199" spans="5:8">
      <c r="E199" s="374"/>
      <c r="F199" s="374"/>
      <c r="G199" s="374"/>
      <c r="H199" s="374"/>
    </row>
    <row r="200" spans="5:8">
      <c r="E200" s="374"/>
      <c r="F200" s="374"/>
      <c r="G200" s="374"/>
      <c r="H200" s="374"/>
    </row>
    <row r="201" spans="5:8">
      <c r="E201" s="374"/>
      <c r="F201" s="374"/>
      <c r="G201" s="374"/>
      <c r="H201" s="374"/>
    </row>
    <row r="202" spans="5:8">
      <c r="E202" s="374"/>
      <c r="F202" s="374"/>
      <c r="G202" s="374"/>
      <c r="H202" s="374"/>
    </row>
    <row r="203" spans="5:8">
      <c r="E203" s="374"/>
      <c r="F203" s="374"/>
      <c r="G203" s="374"/>
      <c r="H203" s="374"/>
    </row>
    <row r="204" spans="5:8">
      <c r="E204" s="374"/>
      <c r="F204" s="374"/>
      <c r="G204" s="374"/>
      <c r="H204" s="374"/>
    </row>
    <row r="205" spans="5:8">
      <c r="E205" s="374"/>
      <c r="F205" s="374"/>
      <c r="G205" s="374"/>
      <c r="H205" s="374"/>
    </row>
    <row r="206" spans="5:8">
      <c r="E206" s="374"/>
      <c r="F206" s="374"/>
      <c r="G206" s="374"/>
      <c r="H206" s="374"/>
    </row>
    <row r="207" spans="5:8">
      <c r="E207" s="374"/>
      <c r="F207" s="374"/>
      <c r="G207" s="374"/>
      <c r="H207" s="374"/>
    </row>
    <row r="208" spans="5:8">
      <c r="E208" s="374"/>
      <c r="F208" s="374"/>
      <c r="G208" s="374"/>
      <c r="H208" s="374"/>
    </row>
    <row r="209" spans="5:8">
      <c r="E209" s="374"/>
      <c r="F209" s="374"/>
      <c r="G209" s="374"/>
      <c r="H209" s="374"/>
    </row>
    <row r="210" spans="5:8">
      <c r="E210" s="374"/>
      <c r="F210" s="374"/>
      <c r="G210" s="374"/>
      <c r="H210" s="374"/>
    </row>
    <row r="211" spans="5:8">
      <c r="E211" s="374"/>
      <c r="F211" s="374"/>
      <c r="G211" s="374"/>
      <c r="H211" s="374"/>
    </row>
    <row r="212" spans="5:8">
      <c r="E212" s="374"/>
      <c r="F212" s="374"/>
      <c r="G212" s="374"/>
      <c r="H212" s="374"/>
    </row>
    <row r="213" spans="5:8">
      <c r="E213" s="374"/>
      <c r="F213" s="374"/>
      <c r="G213" s="374"/>
      <c r="H213" s="374"/>
    </row>
    <row r="214" spans="5:8">
      <c r="E214" s="374"/>
      <c r="F214" s="374"/>
      <c r="G214" s="374"/>
      <c r="H214" s="374"/>
    </row>
    <row r="215" spans="5:8">
      <c r="E215" s="374"/>
      <c r="F215" s="374"/>
      <c r="G215" s="374"/>
      <c r="H215" s="374"/>
    </row>
    <row r="216" spans="5:8">
      <c r="E216" s="374"/>
      <c r="F216" s="374"/>
      <c r="G216" s="374"/>
      <c r="H216" s="374"/>
    </row>
    <row r="217" spans="5:8">
      <c r="E217" s="374"/>
      <c r="F217" s="374"/>
      <c r="G217" s="374"/>
      <c r="H217" s="374"/>
    </row>
    <row r="218" spans="5:8">
      <c r="E218" s="374"/>
      <c r="F218" s="374"/>
      <c r="G218" s="374"/>
      <c r="H218" s="374"/>
    </row>
    <row r="219" spans="5:8">
      <c r="E219" s="374"/>
      <c r="F219" s="374"/>
      <c r="G219" s="374"/>
      <c r="H219" s="374"/>
    </row>
    <row r="220" spans="5:8">
      <c r="E220" s="374"/>
      <c r="F220" s="374"/>
      <c r="G220" s="374"/>
      <c r="H220" s="374"/>
    </row>
    <row r="221" spans="5:8">
      <c r="E221" s="374"/>
      <c r="F221" s="374"/>
      <c r="G221" s="374"/>
      <c r="H221" s="374"/>
    </row>
    <row r="222" spans="5:8">
      <c r="E222" s="374"/>
      <c r="F222" s="374"/>
      <c r="G222" s="374"/>
      <c r="H222" s="374"/>
    </row>
    <row r="223" spans="5:8">
      <c r="E223" s="374"/>
      <c r="F223" s="374"/>
      <c r="G223" s="374"/>
      <c r="H223" s="374"/>
    </row>
    <row r="224" spans="5:8">
      <c r="E224" s="374"/>
      <c r="F224" s="374"/>
      <c r="G224" s="374"/>
      <c r="H224" s="374"/>
    </row>
    <row r="225" spans="5:8">
      <c r="E225" s="374"/>
      <c r="F225" s="374"/>
      <c r="G225" s="374"/>
      <c r="H225" s="374"/>
    </row>
    <row r="226" spans="5:8">
      <c r="E226" s="374"/>
      <c r="F226" s="374"/>
      <c r="G226" s="374"/>
      <c r="H226" s="374"/>
    </row>
    <row r="227" spans="5:8">
      <c r="E227" s="374"/>
      <c r="F227" s="374"/>
      <c r="G227" s="374"/>
      <c r="H227" s="374"/>
    </row>
    <row r="228" spans="5:8">
      <c r="E228" s="374"/>
      <c r="F228" s="374"/>
      <c r="G228" s="374"/>
      <c r="H228" s="374"/>
    </row>
    <row r="229" spans="5:8">
      <c r="E229" s="374"/>
      <c r="F229" s="374"/>
      <c r="G229" s="374"/>
      <c r="H229" s="374"/>
    </row>
    <row r="230" spans="5:8">
      <c r="E230" s="374"/>
      <c r="F230" s="374"/>
      <c r="G230" s="374"/>
      <c r="H230" s="374"/>
    </row>
    <row r="231" spans="5:8">
      <c r="E231" s="374"/>
      <c r="F231" s="374"/>
      <c r="G231" s="374"/>
      <c r="H231" s="374"/>
    </row>
    <row r="232" spans="5:8">
      <c r="E232" s="374"/>
      <c r="F232" s="374"/>
      <c r="G232" s="374"/>
      <c r="H232" s="374"/>
    </row>
    <row r="233" spans="5:8">
      <c r="E233" s="374"/>
      <c r="F233" s="374"/>
      <c r="G233" s="374"/>
      <c r="H233" s="374"/>
    </row>
    <row r="234" spans="5:8">
      <c r="E234" s="374"/>
      <c r="F234" s="374"/>
      <c r="G234" s="374"/>
      <c r="H234" s="374"/>
    </row>
    <row r="235" spans="5:8">
      <c r="E235" s="374"/>
      <c r="F235" s="374"/>
      <c r="G235" s="374"/>
      <c r="H235" s="374"/>
    </row>
    <row r="236" spans="5:8">
      <c r="E236" s="374"/>
      <c r="F236" s="374"/>
      <c r="G236" s="374"/>
      <c r="H236" s="374"/>
    </row>
    <row r="237" spans="5:8">
      <c r="E237" s="374"/>
      <c r="F237" s="374"/>
      <c r="G237" s="374"/>
      <c r="H237" s="374"/>
    </row>
    <row r="238" spans="5:8">
      <c r="E238" s="374"/>
      <c r="F238" s="374"/>
      <c r="G238" s="374"/>
      <c r="H238" s="374"/>
    </row>
    <row r="239" spans="5:8">
      <c r="E239" s="374"/>
      <c r="F239" s="374"/>
      <c r="G239" s="374"/>
      <c r="H239" s="374"/>
    </row>
    <row r="240" spans="5:8">
      <c r="E240" s="374"/>
      <c r="F240" s="374"/>
      <c r="G240" s="374"/>
      <c r="H240" s="374"/>
    </row>
    <row r="241" spans="5:8">
      <c r="E241" s="374"/>
      <c r="F241" s="374"/>
      <c r="G241" s="374"/>
      <c r="H241" s="374"/>
    </row>
    <row r="242" spans="5:8">
      <c r="E242" s="374"/>
      <c r="F242" s="374"/>
      <c r="G242" s="374"/>
      <c r="H242" s="374"/>
    </row>
    <row r="243" spans="5:8">
      <c r="E243" s="374"/>
      <c r="F243" s="374"/>
      <c r="G243" s="374"/>
      <c r="H243" s="374"/>
    </row>
    <row r="244" spans="5:8">
      <c r="E244" s="374"/>
      <c r="F244" s="374"/>
      <c r="G244" s="374"/>
      <c r="H244" s="374"/>
    </row>
    <row r="245" spans="5:8">
      <c r="E245" s="374"/>
      <c r="F245" s="374"/>
      <c r="G245" s="374"/>
      <c r="H245" s="374"/>
    </row>
    <row r="246" spans="5:8">
      <c r="E246" s="374"/>
      <c r="F246" s="374"/>
      <c r="G246" s="374"/>
      <c r="H246" s="374"/>
    </row>
    <row r="247" spans="5:8">
      <c r="E247" s="374"/>
      <c r="F247" s="374"/>
      <c r="G247" s="374"/>
      <c r="H247" s="374"/>
    </row>
    <row r="248" spans="5:8">
      <c r="E248" s="374"/>
      <c r="F248" s="374"/>
      <c r="G248" s="374"/>
      <c r="H248" s="374"/>
    </row>
    <row r="249" spans="5:8">
      <c r="E249" s="374"/>
      <c r="F249" s="374"/>
      <c r="G249" s="374"/>
      <c r="H249" s="374"/>
    </row>
    <row r="250" spans="5:8">
      <c r="E250" s="374"/>
      <c r="F250" s="374"/>
      <c r="G250" s="374"/>
      <c r="H250" s="374"/>
    </row>
    <row r="251" spans="5:8">
      <c r="E251" s="374"/>
      <c r="F251" s="374"/>
      <c r="G251" s="374"/>
      <c r="H251" s="374"/>
    </row>
    <row r="252" spans="5:8">
      <c r="E252" s="374"/>
      <c r="F252" s="374"/>
      <c r="G252" s="374"/>
      <c r="H252" s="374"/>
    </row>
    <row r="253" spans="5:8">
      <c r="E253" s="374"/>
      <c r="F253" s="374"/>
      <c r="G253" s="374"/>
      <c r="H253" s="374"/>
    </row>
    <row r="254" spans="5:8">
      <c r="E254" s="374"/>
      <c r="F254" s="374"/>
      <c r="G254" s="374"/>
      <c r="H254" s="374"/>
    </row>
    <row r="255" spans="5:8">
      <c r="E255" s="374"/>
      <c r="F255" s="374"/>
      <c r="G255" s="374"/>
      <c r="H255" s="374"/>
    </row>
    <row r="256" spans="5:8">
      <c r="E256" s="374"/>
      <c r="F256" s="374"/>
      <c r="G256" s="374"/>
      <c r="H256" s="374"/>
    </row>
    <row r="257" spans="5:8">
      <c r="E257" s="374"/>
      <c r="F257" s="374"/>
      <c r="G257" s="374"/>
      <c r="H257" s="374"/>
    </row>
    <row r="258" spans="5:8">
      <c r="E258" s="374"/>
      <c r="F258" s="374"/>
      <c r="G258" s="374"/>
      <c r="H258" s="374"/>
    </row>
    <row r="259" spans="5:8">
      <c r="E259" s="374"/>
      <c r="F259" s="374"/>
      <c r="G259" s="374"/>
      <c r="H259" s="374"/>
    </row>
    <row r="260" spans="5:8">
      <c r="E260" s="374"/>
      <c r="F260" s="374"/>
      <c r="G260" s="374"/>
      <c r="H260" s="374"/>
    </row>
    <row r="261" spans="5:8">
      <c r="E261" s="374"/>
      <c r="F261" s="374"/>
      <c r="G261" s="374"/>
      <c r="H261" s="374"/>
    </row>
    <row r="262" spans="5:8">
      <c r="E262" s="374"/>
      <c r="F262" s="374"/>
      <c r="G262" s="374"/>
      <c r="H262" s="374"/>
    </row>
    <row r="263" spans="5:8">
      <c r="E263" s="374"/>
      <c r="F263" s="374"/>
      <c r="G263" s="374"/>
      <c r="H263" s="374"/>
    </row>
    <row r="264" spans="5:8">
      <c r="E264" s="374"/>
      <c r="F264" s="374"/>
      <c r="G264" s="374"/>
      <c r="H264" s="374"/>
    </row>
    <row r="265" spans="5:8">
      <c r="E265" s="374"/>
      <c r="F265" s="374"/>
      <c r="G265" s="374"/>
      <c r="H265" s="374"/>
    </row>
    <row r="266" spans="5:8">
      <c r="E266" s="374"/>
      <c r="F266" s="374"/>
      <c r="G266" s="374"/>
      <c r="H266" s="374"/>
    </row>
    <row r="267" spans="5:8">
      <c r="E267" s="374"/>
      <c r="F267" s="374"/>
      <c r="G267" s="374"/>
      <c r="H267" s="374"/>
    </row>
    <row r="268" spans="5:8">
      <c r="E268" s="374"/>
      <c r="F268" s="374"/>
      <c r="G268" s="374"/>
      <c r="H268" s="374"/>
    </row>
    <row r="269" spans="5:8">
      <c r="E269" s="374"/>
      <c r="F269" s="374"/>
      <c r="G269" s="374"/>
      <c r="H269" s="374"/>
    </row>
    <row r="270" spans="5:8">
      <c r="E270" s="374"/>
      <c r="F270" s="374"/>
      <c r="G270" s="374"/>
      <c r="H270" s="374"/>
    </row>
    <row r="271" spans="5:8">
      <c r="E271" s="374"/>
      <c r="F271" s="374"/>
      <c r="G271" s="374"/>
      <c r="H271" s="374"/>
    </row>
    <row r="272" spans="5:8">
      <c r="E272" s="374"/>
      <c r="F272" s="374"/>
      <c r="G272" s="374"/>
      <c r="H272" s="374"/>
    </row>
    <row r="273" spans="5:8">
      <c r="E273" s="374"/>
      <c r="F273" s="374"/>
      <c r="G273" s="374"/>
      <c r="H273" s="374"/>
    </row>
    <row r="274" spans="5:8">
      <c r="E274" s="374"/>
      <c r="F274" s="374"/>
      <c r="G274" s="374"/>
      <c r="H274" s="374"/>
    </row>
    <row r="275" spans="5:8">
      <c r="E275" s="374"/>
      <c r="F275" s="374"/>
      <c r="G275" s="374"/>
      <c r="H275" s="374"/>
    </row>
    <row r="276" spans="5:8">
      <c r="E276" s="374"/>
      <c r="F276" s="374"/>
      <c r="G276" s="374"/>
      <c r="H276" s="374"/>
    </row>
    <row r="277" spans="5:8">
      <c r="E277" s="374"/>
      <c r="F277" s="374"/>
      <c r="G277" s="374"/>
      <c r="H277" s="374"/>
    </row>
    <row r="278" spans="5:8">
      <c r="E278" s="374"/>
      <c r="F278" s="374"/>
      <c r="G278" s="374"/>
      <c r="H278" s="374"/>
    </row>
    <row r="279" spans="5:8">
      <c r="E279" s="374"/>
      <c r="F279" s="374"/>
      <c r="G279" s="374"/>
      <c r="H279" s="374"/>
    </row>
    <row r="280" spans="5:8">
      <c r="E280" s="374"/>
      <c r="F280" s="374"/>
      <c r="G280" s="374"/>
      <c r="H280" s="374"/>
    </row>
    <row r="281" spans="5:8">
      <c r="E281" s="374"/>
      <c r="F281" s="374"/>
      <c r="G281" s="374"/>
      <c r="H281" s="374"/>
    </row>
    <row r="282" spans="5:8">
      <c r="E282" s="374"/>
      <c r="F282" s="374"/>
      <c r="G282" s="374"/>
      <c r="H282" s="374"/>
    </row>
    <row r="283" spans="5:8">
      <c r="E283" s="374"/>
      <c r="F283" s="374"/>
      <c r="G283" s="374"/>
      <c r="H283" s="374"/>
    </row>
    <row r="284" spans="5:8">
      <c r="E284" s="374"/>
      <c r="F284" s="374"/>
      <c r="G284" s="374"/>
      <c r="H284" s="374"/>
    </row>
    <row r="285" spans="5:8">
      <c r="E285" s="374"/>
      <c r="F285" s="374"/>
      <c r="G285" s="374"/>
      <c r="H285" s="374"/>
    </row>
    <row r="286" spans="5:8">
      <c r="E286" s="374"/>
      <c r="F286" s="374"/>
      <c r="G286" s="374"/>
      <c r="H286" s="374"/>
    </row>
    <row r="287" spans="5:8">
      <c r="E287" s="374"/>
      <c r="F287" s="374"/>
      <c r="G287" s="374"/>
      <c r="H287" s="374"/>
    </row>
    <row r="288" spans="5:8">
      <c r="E288" s="374"/>
      <c r="F288" s="374"/>
      <c r="G288" s="374"/>
      <c r="H288" s="374"/>
    </row>
    <row r="289" spans="5:8">
      <c r="E289" s="374"/>
      <c r="F289" s="374"/>
      <c r="G289" s="374"/>
      <c r="H289" s="374"/>
    </row>
    <row r="290" spans="5:8">
      <c r="E290" s="374"/>
      <c r="F290" s="374"/>
      <c r="G290" s="374"/>
      <c r="H290" s="374"/>
    </row>
    <row r="291" spans="5:8">
      <c r="E291" s="374"/>
      <c r="F291" s="374"/>
      <c r="G291" s="374"/>
      <c r="H291" s="374"/>
    </row>
    <row r="292" spans="5:8">
      <c r="E292" s="374"/>
      <c r="F292" s="374"/>
      <c r="G292" s="374"/>
      <c r="H292" s="374"/>
    </row>
    <row r="293" spans="5:8">
      <c r="E293" s="374"/>
      <c r="F293" s="374"/>
      <c r="G293" s="374"/>
      <c r="H293" s="374"/>
    </row>
    <row r="294" spans="5:8">
      <c r="E294" s="374"/>
      <c r="F294" s="374"/>
      <c r="G294" s="374"/>
      <c r="H294" s="374"/>
    </row>
    <row r="295" spans="5:8">
      <c r="E295" s="374"/>
      <c r="F295" s="374"/>
      <c r="G295" s="374"/>
      <c r="H295" s="374"/>
    </row>
    <row r="296" spans="5:8">
      <c r="E296" s="374"/>
      <c r="F296" s="374"/>
      <c r="G296" s="374"/>
      <c r="H296" s="374"/>
    </row>
    <row r="297" spans="5:8">
      <c r="E297" s="374"/>
      <c r="F297" s="374"/>
      <c r="G297" s="374"/>
      <c r="H297" s="374"/>
    </row>
    <row r="298" spans="5:8">
      <c r="E298" s="374"/>
      <c r="F298" s="374"/>
      <c r="G298" s="374"/>
      <c r="H298" s="374"/>
    </row>
    <row r="299" spans="5:8">
      <c r="E299" s="374"/>
      <c r="F299" s="374"/>
      <c r="G299" s="374"/>
      <c r="H299" s="374"/>
    </row>
    <row r="300" spans="5:8">
      <c r="E300" s="374"/>
      <c r="F300" s="374"/>
      <c r="G300" s="374"/>
      <c r="H300" s="374"/>
    </row>
    <row r="301" spans="5:8">
      <c r="E301" s="374"/>
      <c r="F301" s="374"/>
      <c r="G301" s="374"/>
      <c r="H301" s="374"/>
    </row>
    <row r="302" spans="5:8">
      <c r="E302" s="374"/>
      <c r="F302" s="374"/>
      <c r="G302" s="374"/>
      <c r="H302" s="374"/>
    </row>
    <row r="303" spans="5:8">
      <c r="E303" s="374"/>
      <c r="F303" s="374"/>
      <c r="G303" s="374"/>
      <c r="H303" s="374"/>
    </row>
    <row r="304" spans="5:8">
      <c r="E304" s="374"/>
      <c r="F304" s="374"/>
      <c r="G304" s="374"/>
      <c r="H304" s="374"/>
    </row>
    <row r="305" spans="5:8">
      <c r="E305" s="374"/>
      <c r="F305" s="374"/>
      <c r="G305" s="374"/>
      <c r="H305" s="374"/>
    </row>
    <row r="306" spans="5:8">
      <c r="E306" s="374"/>
      <c r="F306" s="374"/>
      <c r="G306" s="374"/>
      <c r="H306" s="374"/>
    </row>
    <row r="307" spans="5:8">
      <c r="E307" s="374"/>
      <c r="F307" s="374"/>
      <c r="G307" s="374"/>
      <c r="H307" s="374"/>
    </row>
    <row r="308" spans="5:8">
      <c r="E308" s="374"/>
      <c r="F308" s="374"/>
      <c r="G308" s="374"/>
      <c r="H308" s="374"/>
    </row>
    <row r="309" spans="5:8">
      <c r="E309" s="374"/>
      <c r="F309" s="374"/>
      <c r="G309" s="374"/>
      <c r="H309" s="374"/>
    </row>
    <row r="310" spans="5:8">
      <c r="E310" s="374"/>
      <c r="F310" s="374"/>
      <c r="G310" s="374"/>
      <c r="H310" s="374"/>
    </row>
    <row r="311" spans="5:8">
      <c r="E311" s="374"/>
      <c r="F311" s="374"/>
      <c r="G311" s="374"/>
      <c r="H311" s="374"/>
    </row>
    <row r="312" spans="5:8">
      <c r="E312" s="374"/>
      <c r="F312" s="374"/>
      <c r="G312" s="374"/>
      <c r="H312" s="374"/>
    </row>
    <row r="313" spans="5:8">
      <c r="E313" s="374"/>
      <c r="F313" s="374"/>
      <c r="G313" s="374"/>
      <c r="H313" s="374"/>
    </row>
    <row r="314" spans="5:8">
      <c r="E314" s="374"/>
      <c r="F314" s="374"/>
      <c r="G314" s="374"/>
      <c r="H314" s="374"/>
    </row>
    <row r="315" spans="5:8">
      <c r="E315" s="374"/>
      <c r="F315" s="374"/>
      <c r="G315" s="374"/>
      <c r="H315" s="374"/>
    </row>
    <row r="316" spans="5:8">
      <c r="E316" s="374"/>
      <c r="F316" s="374"/>
      <c r="G316" s="374"/>
      <c r="H316" s="374"/>
    </row>
    <row r="317" spans="5:8">
      <c r="E317" s="374"/>
      <c r="F317" s="374"/>
      <c r="G317" s="374"/>
      <c r="H317" s="374"/>
    </row>
    <row r="318" spans="5:8">
      <c r="E318" s="374"/>
      <c r="F318" s="374"/>
      <c r="G318" s="374"/>
      <c r="H318" s="374"/>
    </row>
    <row r="319" spans="5:8">
      <c r="E319" s="374"/>
      <c r="F319" s="374"/>
      <c r="G319" s="374"/>
      <c r="H319" s="374"/>
    </row>
    <row r="320" spans="5:8">
      <c r="E320" s="374"/>
      <c r="F320" s="374"/>
      <c r="G320" s="374"/>
      <c r="H320" s="374"/>
    </row>
    <row r="321" spans="5:8">
      <c r="E321" s="374"/>
      <c r="F321" s="374"/>
      <c r="G321" s="374"/>
      <c r="H321" s="374"/>
    </row>
    <row r="322" spans="5:8">
      <c r="E322" s="374"/>
      <c r="F322" s="374"/>
      <c r="G322" s="374"/>
      <c r="H322" s="374"/>
    </row>
    <row r="323" spans="5:8">
      <c r="E323" s="374"/>
      <c r="F323" s="374"/>
      <c r="G323" s="374"/>
      <c r="H323" s="374"/>
    </row>
    <row r="324" spans="5:8">
      <c r="E324" s="374"/>
      <c r="F324" s="374"/>
      <c r="G324" s="374"/>
      <c r="H324" s="374"/>
    </row>
    <row r="325" spans="5:8">
      <c r="E325" s="374"/>
      <c r="F325" s="374"/>
      <c r="G325" s="374"/>
      <c r="H325" s="374"/>
    </row>
    <row r="326" spans="5:8">
      <c r="E326" s="374"/>
      <c r="F326" s="374"/>
      <c r="G326" s="374"/>
      <c r="H326" s="374"/>
    </row>
    <row r="327" spans="5:8">
      <c r="E327" s="374"/>
      <c r="F327" s="374"/>
      <c r="G327" s="374"/>
      <c r="H327" s="374"/>
    </row>
    <row r="328" spans="5:8">
      <c r="E328" s="374"/>
      <c r="F328" s="374"/>
      <c r="G328" s="374"/>
      <c r="H328" s="374"/>
    </row>
    <row r="329" spans="5:8">
      <c r="E329" s="374"/>
      <c r="F329" s="374"/>
      <c r="G329" s="374"/>
      <c r="H329" s="374"/>
    </row>
    <row r="330" spans="5:8">
      <c r="E330" s="374"/>
      <c r="F330" s="374"/>
      <c r="G330" s="374"/>
      <c r="H330" s="374"/>
    </row>
    <row r="331" spans="5:8">
      <c r="E331" s="374"/>
      <c r="F331" s="374"/>
      <c r="G331" s="374"/>
      <c r="H331" s="374"/>
    </row>
    <row r="332" spans="5:8">
      <c r="E332" s="374"/>
      <c r="F332" s="374"/>
      <c r="G332" s="374"/>
      <c r="H332" s="374"/>
    </row>
    <row r="333" spans="5:8">
      <c r="E333" s="374"/>
      <c r="F333" s="374"/>
      <c r="G333" s="374"/>
      <c r="H333" s="374"/>
    </row>
    <row r="334" spans="5:8">
      <c r="E334" s="374"/>
      <c r="F334" s="374"/>
      <c r="G334" s="374"/>
      <c r="H334" s="374"/>
    </row>
    <row r="335" spans="5:8">
      <c r="E335" s="374"/>
      <c r="F335" s="374"/>
      <c r="G335" s="374"/>
      <c r="H335" s="374"/>
    </row>
    <row r="336" spans="5:8">
      <c r="E336" s="374"/>
      <c r="F336" s="374"/>
      <c r="G336" s="374"/>
      <c r="H336" s="374"/>
    </row>
    <row r="337" spans="5:8">
      <c r="E337" s="374"/>
      <c r="F337" s="374"/>
      <c r="G337" s="374"/>
      <c r="H337" s="374"/>
    </row>
    <row r="338" spans="5:8">
      <c r="E338" s="374"/>
      <c r="F338" s="374"/>
      <c r="G338" s="374"/>
      <c r="H338" s="374"/>
    </row>
    <row r="339" spans="5:8">
      <c r="E339" s="374"/>
      <c r="F339" s="374"/>
      <c r="G339" s="374"/>
      <c r="H339" s="374"/>
    </row>
    <row r="340" spans="5:8">
      <c r="E340" s="374"/>
      <c r="F340" s="374"/>
      <c r="G340" s="374"/>
      <c r="H340" s="374"/>
    </row>
    <row r="341" spans="5:8">
      <c r="E341" s="374"/>
      <c r="F341" s="374"/>
      <c r="G341" s="374"/>
      <c r="H341" s="374"/>
    </row>
    <row r="342" spans="5:8">
      <c r="E342" s="374"/>
      <c r="F342" s="374"/>
      <c r="G342" s="374"/>
      <c r="H342" s="374"/>
    </row>
    <row r="343" spans="5:8">
      <c r="E343" s="374"/>
      <c r="F343" s="374"/>
      <c r="G343" s="374"/>
      <c r="H343" s="374"/>
    </row>
    <row r="344" spans="5:8">
      <c r="E344" s="374"/>
      <c r="F344" s="374"/>
      <c r="G344" s="374"/>
      <c r="H344" s="374"/>
    </row>
    <row r="345" spans="5:8">
      <c r="E345" s="374"/>
      <c r="F345" s="374"/>
      <c r="G345" s="374"/>
      <c r="H345" s="374"/>
    </row>
    <row r="346" spans="5:8">
      <c r="E346" s="374"/>
      <c r="F346" s="374"/>
      <c r="G346" s="374"/>
      <c r="H346" s="374"/>
    </row>
    <row r="347" spans="5:8">
      <c r="E347" s="374"/>
      <c r="F347" s="374"/>
      <c r="G347" s="374"/>
      <c r="H347" s="374"/>
    </row>
    <row r="348" spans="5:8">
      <c r="E348" s="374"/>
      <c r="F348" s="374"/>
      <c r="G348" s="374"/>
      <c r="H348" s="374"/>
    </row>
    <row r="349" spans="5:8">
      <c r="E349" s="374"/>
      <c r="F349" s="374"/>
      <c r="G349" s="374"/>
      <c r="H349" s="374"/>
    </row>
    <row r="350" spans="5:8">
      <c r="E350" s="374"/>
      <c r="F350" s="374"/>
      <c r="G350" s="374"/>
      <c r="H350" s="374"/>
    </row>
    <row r="351" spans="5:8">
      <c r="E351" s="374"/>
      <c r="F351" s="374"/>
      <c r="G351" s="374"/>
      <c r="H351" s="374"/>
    </row>
    <row r="352" spans="5:8">
      <c r="E352" s="374"/>
      <c r="F352" s="374"/>
      <c r="G352" s="374"/>
      <c r="H352" s="374"/>
    </row>
    <row r="353" spans="5:8">
      <c r="E353" s="374"/>
      <c r="F353" s="374"/>
      <c r="G353" s="374"/>
      <c r="H353" s="374"/>
    </row>
    <row r="354" spans="5:8">
      <c r="E354" s="374"/>
      <c r="F354" s="374"/>
      <c r="G354" s="374"/>
      <c r="H354" s="374"/>
    </row>
    <row r="355" spans="5:8">
      <c r="E355" s="374"/>
      <c r="F355" s="374"/>
      <c r="G355" s="374"/>
      <c r="H355" s="374"/>
    </row>
    <row r="356" spans="5:8">
      <c r="E356" s="374"/>
      <c r="F356" s="374"/>
      <c r="G356" s="374"/>
      <c r="H356" s="374"/>
    </row>
    <row r="357" spans="5:8">
      <c r="E357" s="374"/>
      <c r="F357" s="374"/>
      <c r="G357" s="374"/>
      <c r="H357" s="374"/>
    </row>
    <row r="358" spans="5:8">
      <c r="E358" s="374"/>
      <c r="F358" s="374"/>
      <c r="G358" s="374"/>
      <c r="H358" s="374"/>
    </row>
    <row r="359" spans="5:8">
      <c r="E359" s="374"/>
      <c r="F359" s="374"/>
      <c r="G359" s="374"/>
      <c r="H359" s="374"/>
    </row>
    <row r="360" spans="5:8">
      <c r="E360" s="374"/>
      <c r="F360" s="374"/>
      <c r="G360" s="374"/>
      <c r="H360" s="374"/>
    </row>
    <row r="361" spans="5:8">
      <c r="E361" s="374"/>
      <c r="F361" s="374"/>
      <c r="G361" s="374"/>
      <c r="H361" s="374"/>
    </row>
    <row r="362" spans="5:8">
      <c r="E362" s="374"/>
      <c r="F362" s="374"/>
      <c r="G362" s="374"/>
      <c r="H362" s="374"/>
    </row>
    <row r="363" spans="5:8">
      <c r="E363" s="374"/>
      <c r="F363" s="374"/>
      <c r="G363" s="374"/>
      <c r="H363" s="374"/>
    </row>
    <row r="364" spans="5:8">
      <c r="E364" s="374"/>
      <c r="F364" s="374"/>
      <c r="G364" s="374"/>
      <c r="H364" s="374"/>
    </row>
    <row r="365" spans="5:8">
      <c r="E365" s="374"/>
      <c r="F365" s="374"/>
      <c r="G365" s="374"/>
      <c r="H365" s="374"/>
    </row>
    <row r="366" spans="5:8">
      <c r="E366" s="374"/>
      <c r="F366" s="374"/>
      <c r="G366" s="374"/>
      <c r="H366" s="374"/>
    </row>
    <row r="367" spans="5:8">
      <c r="E367" s="374"/>
      <c r="F367" s="374"/>
      <c r="G367" s="374"/>
      <c r="H367" s="374"/>
    </row>
    <row r="368" spans="5:8">
      <c r="E368" s="374"/>
      <c r="F368" s="374"/>
      <c r="G368" s="374"/>
      <c r="H368" s="374"/>
    </row>
    <row r="369" spans="5:8">
      <c r="E369" s="374"/>
      <c r="F369" s="374"/>
      <c r="G369" s="374"/>
      <c r="H369" s="374"/>
    </row>
    <row r="370" spans="5:8">
      <c r="E370" s="374"/>
      <c r="F370" s="374"/>
      <c r="G370" s="374"/>
      <c r="H370" s="374"/>
    </row>
    <row r="371" spans="5:8">
      <c r="E371" s="374"/>
      <c r="F371" s="374"/>
      <c r="G371" s="374"/>
      <c r="H371" s="374"/>
    </row>
    <row r="372" spans="5:8">
      <c r="E372" s="374"/>
      <c r="F372" s="374"/>
      <c r="G372" s="374"/>
      <c r="H372" s="374"/>
    </row>
    <row r="373" spans="5:8">
      <c r="E373" s="374"/>
      <c r="F373" s="374"/>
      <c r="G373" s="374"/>
      <c r="H373" s="374"/>
    </row>
    <row r="374" spans="5:8">
      <c r="E374" s="374"/>
      <c r="F374" s="374"/>
      <c r="G374" s="374"/>
      <c r="H374" s="374"/>
    </row>
    <row r="375" spans="5:8">
      <c r="E375" s="374"/>
      <c r="F375" s="374"/>
      <c r="G375" s="374"/>
      <c r="H375" s="374"/>
    </row>
    <row r="376" spans="5:8">
      <c r="E376" s="374"/>
      <c r="F376" s="374"/>
      <c r="G376" s="374"/>
      <c r="H376" s="374"/>
    </row>
    <row r="377" spans="5:8">
      <c r="E377" s="374"/>
      <c r="F377" s="374"/>
      <c r="G377" s="374"/>
      <c r="H377" s="374"/>
    </row>
    <row r="378" spans="5:8">
      <c r="E378" s="374"/>
      <c r="F378" s="374"/>
      <c r="G378" s="374"/>
      <c r="H378" s="374"/>
    </row>
    <row r="379" spans="5:8">
      <c r="E379" s="374"/>
      <c r="F379" s="374"/>
      <c r="G379" s="374"/>
      <c r="H379" s="374"/>
    </row>
    <row r="380" spans="5:8">
      <c r="E380" s="374"/>
      <c r="F380" s="374"/>
      <c r="G380" s="374"/>
      <c r="H380" s="374"/>
    </row>
    <row r="381" spans="5:8">
      <c r="E381" s="374"/>
      <c r="F381" s="374"/>
      <c r="G381" s="374"/>
      <c r="H381" s="374"/>
    </row>
    <row r="382" spans="5:8">
      <c r="E382" s="374"/>
      <c r="F382" s="374"/>
      <c r="G382" s="374"/>
      <c r="H382" s="374"/>
    </row>
    <row r="383" spans="5:8">
      <c r="E383" s="374"/>
      <c r="F383" s="374"/>
      <c r="G383" s="374"/>
      <c r="H383" s="374"/>
    </row>
    <row r="384" spans="5:8">
      <c r="E384" s="374"/>
      <c r="F384" s="374"/>
      <c r="G384" s="374"/>
      <c r="H384" s="374"/>
    </row>
    <row r="385" spans="5:8">
      <c r="E385" s="374"/>
      <c r="F385" s="374"/>
      <c r="G385" s="374"/>
      <c r="H385" s="374"/>
    </row>
    <row r="386" spans="5:8">
      <c r="E386" s="374"/>
      <c r="F386" s="374"/>
      <c r="G386" s="374"/>
      <c r="H386" s="374"/>
    </row>
    <row r="387" spans="5:8">
      <c r="E387" s="374"/>
      <c r="F387" s="374"/>
      <c r="G387" s="374"/>
      <c r="H387" s="374"/>
    </row>
    <row r="388" spans="5:8">
      <c r="E388" s="374"/>
      <c r="F388" s="374"/>
      <c r="G388" s="374"/>
      <c r="H388" s="374"/>
    </row>
    <row r="389" spans="5:8">
      <c r="E389" s="374"/>
      <c r="F389" s="374"/>
      <c r="G389" s="374"/>
      <c r="H389" s="374"/>
    </row>
    <row r="390" spans="5:8">
      <c r="E390" s="374"/>
      <c r="F390" s="374"/>
      <c r="G390" s="374"/>
      <c r="H390" s="374"/>
    </row>
    <row r="391" spans="5:8">
      <c r="E391" s="374"/>
      <c r="F391" s="374"/>
      <c r="G391" s="374"/>
      <c r="H391" s="374"/>
    </row>
    <row r="392" spans="5:8">
      <c r="E392" s="374"/>
      <c r="F392" s="374"/>
      <c r="G392" s="374"/>
      <c r="H392" s="374"/>
    </row>
    <row r="393" spans="5:8">
      <c r="E393" s="374"/>
      <c r="F393" s="374"/>
      <c r="G393" s="374"/>
      <c r="H393" s="374"/>
    </row>
    <row r="394" spans="5:8">
      <c r="E394" s="374"/>
      <c r="F394" s="374"/>
      <c r="G394" s="374"/>
      <c r="H394" s="374"/>
    </row>
    <row r="395" spans="5:8">
      <c r="E395" s="374"/>
      <c r="F395" s="374"/>
      <c r="G395" s="374"/>
      <c r="H395" s="374"/>
    </row>
    <row r="396" spans="5:8">
      <c r="E396" s="374"/>
      <c r="F396" s="374"/>
      <c r="G396" s="374"/>
      <c r="H396" s="374"/>
    </row>
    <row r="397" spans="5:8">
      <c r="E397" s="374"/>
      <c r="F397" s="374"/>
      <c r="G397" s="374"/>
      <c r="H397" s="374"/>
    </row>
    <row r="398" spans="5:8">
      <c r="E398" s="374"/>
      <c r="F398" s="374"/>
      <c r="G398" s="374"/>
      <c r="H398" s="374"/>
    </row>
    <row r="399" spans="5:8">
      <c r="E399" s="374"/>
      <c r="F399" s="374"/>
      <c r="G399" s="374"/>
      <c r="H399" s="374"/>
    </row>
    <row r="400" spans="5:8">
      <c r="E400" s="374"/>
      <c r="F400" s="374"/>
      <c r="G400" s="374"/>
      <c r="H400" s="374"/>
    </row>
    <row r="401" spans="5:8">
      <c r="E401" s="374"/>
      <c r="F401" s="374"/>
      <c r="G401" s="374"/>
      <c r="H401" s="374"/>
    </row>
    <row r="402" spans="5:8">
      <c r="E402" s="374"/>
      <c r="F402" s="374"/>
      <c r="G402" s="374"/>
      <c r="H402" s="374"/>
    </row>
    <row r="403" spans="5:8">
      <c r="E403" s="374"/>
      <c r="F403" s="374"/>
      <c r="G403" s="374"/>
      <c r="H403" s="374"/>
    </row>
    <row r="404" spans="5:8">
      <c r="E404" s="374"/>
      <c r="F404" s="374"/>
      <c r="G404" s="374"/>
      <c r="H404" s="374"/>
    </row>
    <row r="405" spans="5:8">
      <c r="E405" s="374"/>
      <c r="F405" s="374"/>
      <c r="G405" s="374"/>
      <c r="H405" s="374"/>
    </row>
    <row r="406" spans="5:8">
      <c r="E406" s="374"/>
      <c r="F406" s="374"/>
      <c r="G406" s="374"/>
      <c r="H406" s="374"/>
    </row>
    <row r="407" spans="5:8">
      <c r="E407" s="374"/>
      <c r="F407" s="374"/>
      <c r="G407" s="374"/>
      <c r="H407" s="374"/>
    </row>
    <row r="408" spans="5:8">
      <c r="E408" s="374"/>
      <c r="F408" s="374"/>
      <c r="G408" s="374"/>
      <c r="H408" s="374"/>
    </row>
    <row r="409" spans="5:8">
      <c r="E409" s="374"/>
      <c r="F409" s="374"/>
      <c r="G409" s="374"/>
      <c r="H409" s="374"/>
    </row>
    <row r="410" spans="5:8">
      <c r="E410" s="374"/>
      <c r="F410" s="374"/>
      <c r="G410" s="374"/>
      <c r="H410" s="374"/>
    </row>
    <row r="411" spans="5:8">
      <c r="E411" s="374"/>
      <c r="F411" s="374"/>
      <c r="G411" s="374"/>
      <c r="H411" s="374"/>
    </row>
    <row r="412" spans="5:8">
      <c r="E412" s="374"/>
      <c r="F412" s="374"/>
      <c r="G412" s="374"/>
      <c r="H412" s="374"/>
    </row>
    <row r="413" spans="5:8">
      <c r="E413" s="374"/>
      <c r="F413" s="374"/>
      <c r="G413" s="374"/>
      <c r="H413" s="374"/>
    </row>
    <row r="414" spans="5:8">
      <c r="E414" s="374"/>
      <c r="F414" s="374"/>
      <c r="G414" s="374"/>
      <c r="H414" s="374"/>
    </row>
    <row r="415" spans="5:8">
      <c r="E415" s="374"/>
      <c r="F415" s="374"/>
      <c r="G415" s="374"/>
      <c r="H415" s="374"/>
    </row>
    <row r="416" spans="5:8">
      <c r="E416" s="374"/>
      <c r="F416" s="374"/>
      <c r="G416" s="374"/>
      <c r="H416" s="374"/>
    </row>
    <row r="417" spans="5:8">
      <c r="E417" s="374"/>
      <c r="F417" s="374"/>
      <c r="G417" s="374"/>
      <c r="H417" s="374"/>
    </row>
    <row r="418" spans="5:8">
      <c r="E418" s="374"/>
      <c r="F418" s="374"/>
      <c r="G418" s="374"/>
      <c r="H418" s="374"/>
    </row>
    <row r="419" spans="5:8">
      <c r="E419" s="374"/>
      <c r="F419" s="374"/>
      <c r="G419" s="374"/>
      <c r="H419" s="374"/>
    </row>
    <row r="420" spans="5:8">
      <c r="E420" s="374"/>
      <c r="F420" s="374"/>
      <c r="G420" s="374"/>
      <c r="H420" s="374"/>
    </row>
    <row r="421" spans="5:8">
      <c r="E421" s="374"/>
      <c r="F421" s="374"/>
      <c r="G421" s="374"/>
      <c r="H421" s="374"/>
    </row>
    <row r="422" spans="5:8">
      <c r="E422" s="374"/>
      <c r="F422" s="374"/>
      <c r="G422" s="374"/>
      <c r="H422" s="374"/>
    </row>
    <row r="423" spans="5:8">
      <c r="E423" s="374"/>
      <c r="F423" s="374"/>
      <c r="G423" s="374"/>
      <c r="H423" s="374"/>
    </row>
    <row r="424" spans="5:8">
      <c r="E424" s="374"/>
      <c r="F424" s="374"/>
      <c r="G424" s="374"/>
      <c r="H424" s="374"/>
    </row>
    <row r="425" spans="5:8">
      <c r="E425" s="374"/>
      <c r="F425" s="374"/>
      <c r="G425" s="374"/>
      <c r="H425" s="374"/>
    </row>
    <row r="426" spans="5:8">
      <c r="E426" s="374"/>
      <c r="F426" s="374"/>
      <c r="G426" s="374"/>
      <c r="H426" s="374"/>
    </row>
    <row r="427" spans="5:8">
      <c r="E427" s="374"/>
      <c r="F427" s="374"/>
      <c r="G427" s="374"/>
      <c r="H427" s="374"/>
    </row>
    <row r="428" spans="5:8">
      <c r="E428" s="374"/>
      <c r="F428" s="374"/>
      <c r="G428" s="374"/>
      <c r="H428" s="374"/>
    </row>
    <row r="429" spans="5:8">
      <c r="E429" s="374"/>
      <c r="F429" s="374"/>
      <c r="G429" s="374"/>
      <c r="H429" s="374"/>
    </row>
    <row r="430" spans="5:8">
      <c r="E430" s="374"/>
      <c r="F430" s="374"/>
      <c r="G430" s="374"/>
      <c r="H430" s="374"/>
    </row>
    <row r="431" spans="5:8">
      <c r="E431" s="374"/>
      <c r="F431" s="374"/>
      <c r="G431" s="374"/>
      <c r="H431" s="374"/>
    </row>
    <row r="432" spans="5:8">
      <c r="E432" s="374"/>
      <c r="F432" s="374"/>
      <c r="G432" s="374"/>
      <c r="H432" s="374"/>
    </row>
    <row r="433" spans="5:8">
      <c r="E433" s="374"/>
      <c r="F433" s="374"/>
      <c r="G433" s="374"/>
      <c r="H433" s="374"/>
    </row>
    <row r="434" spans="5:8">
      <c r="E434" s="374"/>
      <c r="F434" s="374"/>
      <c r="G434" s="374"/>
      <c r="H434" s="374"/>
    </row>
    <row r="435" spans="5:8">
      <c r="E435" s="374"/>
      <c r="F435" s="374"/>
      <c r="G435" s="374"/>
      <c r="H435" s="374"/>
    </row>
    <row r="436" spans="5:8">
      <c r="E436" s="374"/>
      <c r="F436" s="374"/>
      <c r="G436" s="374"/>
      <c r="H436" s="374"/>
    </row>
    <row r="437" spans="5:8">
      <c r="E437" s="374"/>
      <c r="F437" s="374"/>
      <c r="G437" s="374"/>
      <c r="H437" s="374"/>
    </row>
    <row r="438" spans="5:8">
      <c r="E438" s="374"/>
      <c r="F438" s="374"/>
      <c r="G438" s="374"/>
      <c r="H438" s="374"/>
    </row>
    <row r="439" spans="5:8">
      <c r="E439" s="374"/>
      <c r="F439" s="374"/>
      <c r="G439" s="374"/>
      <c r="H439" s="374"/>
    </row>
    <row r="440" spans="5:8">
      <c r="E440" s="374"/>
      <c r="F440" s="374"/>
      <c r="G440" s="374"/>
      <c r="H440" s="374"/>
    </row>
    <row r="441" spans="5:8">
      <c r="E441" s="374"/>
      <c r="F441" s="374"/>
      <c r="G441" s="374"/>
      <c r="H441" s="374"/>
    </row>
    <row r="442" spans="5:8">
      <c r="E442" s="374"/>
      <c r="F442" s="374"/>
      <c r="G442" s="374"/>
      <c r="H442" s="374"/>
    </row>
    <row r="443" spans="5:8">
      <c r="E443" s="374"/>
      <c r="F443" s="374"/>
      <c r="G443" s="374"/>
      <c r="H443" s="374"/>
    </row>
    <row r="444" spans="5:8">
      <c r="E444" s="374"/>
      <c r="F444" s="374"/>
      <c r="G444" s="374"/>
      <c r="H444" s="374"/>
    </row>
    <row r="445" spans="5:8">
      <c r="E445" s="374"/>
      <c r="F445" s="374"/>
      <c r="G445" s="374"/>
      <c r="H445" s="374"/>
    </row>
    <row r="446" spans="5:8">
      <c r="E446" s="374"/>
      <c r="F446" s="374"/>
      <c r="G446" s="374"/>
      <c r="H446" s="374"/>
    </row>
    <row r="447" spans="5:8">
      <c r="E447" s="374"/>
      <c r="F447" s="374"/>
      <c r="G447" s="374"/>
      <c r="H447" s="374"/>
    </row>
    <row r="448" spans="5:8">
      <c r="E448" s="374"/>
      <c r="F448" s="374"/>
      <c r="G448" s="374"/>
      <c r="H448" s="374"/>
    </row>
    <row r="449" spans="5:8">
      <c r="E449" s="374"/>
      <c r="F449" s="374"/>
      <c r="G449" s="374"/>
      <c r="H449" s="374"/>
    </row>
    <row r="450" spans="5:8">
      <c r="E450" s="374"/>
      <c r="F450" s="374"/>
      <c r="G450" s="374"/>
      <c r="H450" s="374"/>
    </row>
    <row r="451" spans="5:8">
      <c r="E451" s="374"/>
      <c r="F451" s="374"/>
      <c r="G451" s="374"/>
      <c r="H451" s="374"/>
    </row>
    <row r="452" spans="5:8">
      <c r="E452" s="374"/>
      <c r="F452" s="374"/>
      <c r="G452" s="374"/>
      <c r="H452" s="374"/>
    </row>
    <row r="453" spans="5:8">
      <c r="E453" s="374"/>
      <c r="F453" s="374"/>
      <c r="G453" s="374"/>
      <c r="H453" s="374"/>
    </row>
    <row r="454" spans="5:8">
      <c r="E454" s="374"/>
      <c r="F454" s="374"/>
      <c r="G454" s="374"/>
      <c r="H454" s="374"/>
    </row>
    <row r="455" spans="5:8">
      <c r="E455" s="374"/>
      <c r="F455" s="374"/>
      <c r="G455" s="374"/>
      <c r="H455" s="374"/>
    </row>
    <row r="456" spans="5:8">
      <c r="E456" s="374"/>
      <c r="F456" s="374"/>
      <c r="G456" s="374"/>
      <c r="H456" s="374"/>
    </row>
    <row r="457" spans="5:8">
      <c r="E457" s="374"/>
      <c r="F457" s="374"/>
      <c r="G457" s="374"/>
      <c r="H457" s="374"/>
    </row>
    <row r="458" spans="5:8">
      <c r="E458" s="374"/>
      <c r="F458" s="374"/>
      <c r="G458" s="374"/>
      <c r="H458" s="374"/>
    </row>
    <row r="459" spans="5:8">
      <c r="E459" s="374"/>
      <c r="F459" s="374"/>
      <c r="G459" s="374"/>
      <c r="H459" s="374"/>
    </row>
    <row r="460" spans="5:8">
      <c r="E460" s="374"/>
      <c r="F460" s="374"/>
      <c r="G460" s="374"/>
      <c r="H460" s="374"/>
    </row>
    <row r="461" spans="5:8">
      <c r="E461" s="374"/>
      <c r="F461" s="374"/>
      <c r="G461" s="374"/>
      <c r="H461" s="374"/>
    </row>
    <row r="462" spans="5:8">
      <c r="E462" s="374"/>
      <c r="F462" s="374"/>
      <c r="G462" s="374"/>
      <c r="H462" s="374"/>
    </row>
    <row r="463" spans="5:8">
      <c r="E463" s="374"/>
      <c r="F463" s="374"/>
      <c r="G463" s="374"/>
      <c r="H463" s="374"/>
    </row>
    <row r="464" spans="5:8">
      <c r="E464" s="374"/>
      <c r="F464" s="374"/>
      <c r="G464" s="374"/>
      <c r="H464" s="374"/>
    </row>
    <row r="465" spans="5:8">
      <c r="E465" s="374"/>
      <c r="F465" s="374"/>
      <c r="G465" s="374"/>
      <c r="H465" s="374"/>
    </row>
    <row r="466" spans="5:8">
      <c r="E466" s="374"/>
      <c r="F466" s="374"/>
      <c r="G466" s="374"/>
      <c r="H466" s="374"/>
    </row>
    <row r="467" spans="5:8">
      <c r="E467" s="374"/>
      <c r="F467" s="374"/>
      <c r="G467" s="374"/>
      <c r="H467" s="374"/>
    </row>
    <row r="468" spans="5:8">
      <c r="E468" s="374"/>
      <c r="F468" s="374"/>
      <c r="G468" s="374"/>
      <c r="H468" s="374"/>
    </row>
    <row r="469" spans="5:8">
      <c r="E469" s="374"/>
      <c r="F469" s="374"/>
      <c r="G469" s="374"/>
      <c r="H469" s="374"/>
    </row>
    <row r="470" spans="5:8">
      <c r="E470" s="374"/>
      <c r="F470" s="374"/>
      <c r="G470" s="374"/>
      <c r="H470" s="374"/>
    </row>
    <row r="471" spans="5:8">
      <c r="E471" s="374"/>
      <c r="F471" s="374"/>
      <c r="G471" s="374"/>
      <c r="H471" s="374"/>
    </row>
    <row r="472" spans="5:8">
      <c r="E472" s="374"/>
      <c r="F472" s="374"/>
      <c r="G472" s="374"/>
      <c r="H472" s="374"/>
    </row>
    <row r="473" spans="5:8">
      <c r="E473" s="374"/>
      <c r="F473" s="374"/>
      <c r="G473" s="374"/>
      <c r="H473" s="374"/>
    </row>
    <row r="474" spans="5:8">
      <c r="E474" s="374"/>
      <c r="F474" s="374"/>
      <c r="G474" s="374"/>
      <c r="H474" s="374"/>
    </row>
    <row r="475" spans="5:8">
      <c r="E475" s="374"/>
      <c r="F475" s="374"/>
      <c r="G475" s="374"/>
      <c r="H475" s="374"/>
    </row>
    <row r="476" spans="5:8">
      <c r="E476" s="374"/>
      <c r="F476" s="374"/>
      <c r="G476" s="374"/>
      <c r="H476" s="374"/>
    </row>
    <row r="477" spans="5:8">
      <c r="E477" s="374"/>
      <c r="F477" s="374"/>
      <c r="G477" s="374"/>
      <c r="H477" s="374"/>
    </row>
    <row r="478" spans="5:8">
      <c r="E478" s="374"/>
      <c r="F478" s="374"/>
      <c r="G478" s="374"/>
      <c r="H478" s="374"/>
    </row>
    <row r="479" spans="5:8">
      <c r="E479" s="374"/>
      <c r="F479" s="374"/>
      <c r="G479" s="374"/>
      <c r="H479" s="374"/>
    </row>
    <row r="480" spans="5:8">
      <c r="E480" s="374"/>
      <c r="F480" s="374"/>
      <c r="G480" s="374"/>
      <c r="H480" s="374"/>
    </row>
    <row r="481" spans="5:8">
      <c r="E481" s="374"/>
      <c r="F481" s="374"/>
      <c r="G481" s="374"/>
      <c r="H481" s="374"/>
    </row>
    <row r="482" spans="5:8">
      <c r="E482" s="374"/>
      <c r="F482" s="374"/>
      <c r="G482" s="374"/>
      <c r="H482" s="374"/>
    </row>
    <row r="483" spans="5:8">
      <c r="E483" s="374"/>
      <c r="F483" s="374"/>
      <c r="G483" s="374"/>
      <c r="H483" s="374"/>
    </row>
    <row r="484" spans="5:8">
      <c r="E484" s="374"/>
      <c r="F484" s="374"/>
      <c r="G484" s="374"/>
      <c r="H484" s="374"/>
    </row>
    <row r="485" spans="5:8">
      <c r="E485" s="374"/>
      <c r="F485" s="374"/>
      <c r="G485" s="374"/>
      <c r="H485" s="374"/>
    </row>
    <row r="486" spans="5:8">
      <c r="E486" s="374"/>
      <c r="F486" s="374"/>
      <c r="G486" s="374"/>
      <c r="H486" s="374"/>
    </row>
    <row r="487" spans="5:8">
      <c r="E487" s="374"/>
      <c r="F487" s="374"/>
      <c r="G487" s="374"/>
      <c r="H487" s="374"/>
    </row>
    <row r="488" spans="5:8">
      <c r="E488" s="374"/>
      <c r="F488" s="374"/>
      <c r="G488" s="374"/>
      <c r="H488" s="374"/>
    </row>
    <row r="489" spans="5:8">
      <c r="E489" s="374"/>
      <c r="F489" s="374"/>
      <c r="G489" s="374"/>
      <c r="H489" s="374"/>
    </row>
    <row r="490" spans="5:8">
      <c r="E490" s="374"/>
      <c r="F490" s="374"/>
      <c r="G490" s="374"/>
      <c r="H490" s="374"/>
    </row>
    <row r="491" spans="5:8">
      <c r="E491" s="374"/>
      <c r="F491" s="374"/>
      <c r="G491" s="374"/>
      <c r="H491" s="374"/>
    </row>
    <row r="492" spans="5:8">
      <c r="E492" s="374"/>
      <c r="F492" s="374"/>
      <c r="G492" s="374"/>
      <c r="H492" s="374"/>
    </row>
    <row r="493" spans="5:8">
      <c r="E493" s="374"/>
      <c r="F493" s="374"/>
      <c r="G493" s="374"/>
      <c r="H493" s="374"/>
    </row>
    <row r="494" spans="5:8">
      <c r="E494" s="374"/>
      <c r="F494" s="374"/>
      <c r="G494" s="374"/>
      <c r="H494" s="374"/>
    </row>
    <row r="495" spans="5:8">
      <c r="E495" s="374"/>
      <c r="F495" s="374"/>
      <c r="G495" s="374"/>
      <c r="H495" s="374"/>
    </row>
    <row r="496" spans="5:8">
      <c r="E496" s="374"/>
      <c r="F496" s="374"/>
      <c r="G496" s="374"/>
      <c r="H496" s="374"/>
    </row>
    <row r="497" spans="5:8">
      <c r="E497" s="374"/>
      <c r="F497" s="374"/>
      <c r="G497" s="374"/>
      <c r="H497" s="374"/>
    </row>
    <row r="498" spans="5:8">
      <c r="E498" s="374"/>
      <c r="F498" s="374"/>
      <c r="G498" s="374"/>
      <c r="H498" s="374"/>
    </row>
    <row r="499" spans="5:8">
      <c r="E499" s="374"/>
      <c r="F499" s="374"/>
      <c r="G499" s="374"/>
      <c r="H499" s="374"/>
    </row>
    <row r="500" spans="5:8">
      <c r="E500" s="374"/>
      <c r="F500" s="374"/>
      <c r="G500" s="374"/>
      <c r="H500" s="374"/>
    </row>
    <row r="501" spans="5:8">
      <c r="E501" s="374"/>
      <c r="F501" s="374"/>
      <c r="G501" s="374"/>
      <c r="H501" s="374"/>
    </row>
    <row r="502" spans="5:8">
      <c r="E502" s="374"/>
      <c r="F502" s="374"/>
      <c r="G502" s="374"/>
      <c r="H502" s="374"/>
    </row>
    <row r="503" spans="5:8">
      <c r="E503" s="374"/>
      <c r="F503" s="374"/>
      <c r="G503" s="374"/>
      <c r="H503" s="374"/>
    </row>
    <row r="504" spans="5:8">
      <c r="E504" s="374"/>
      <c r="F504" s="374"/>
      <c r="G504" s="374"/>
      <c r="H504" s="374"/>
    </row>
    <row r="505" spans="5:8">
      <c r="E505" s="374"/>
      <c r="F505" s="374"/>
      <c r="G505" s="374"/>
      <c r="H505" s="374"/>
    </row>
    <row r="506" spans="5:8">
      <c r="E506" s="374"/>
      <c r="F506" s="374"/>
      <c r="G506" s="374"/>
      <c r="H506" s="374"/>
    </row>
    <row r="507" spans="5:8">
      <c r="E507" s="374"/>
      <c r="F507" s="374"/>
      <c r="G507" s="374"/>
      <c r="H507" s="374"/>
    </row>
    <row r="508" spans="5:8">
      <c r="E508" s="374"/>
      <c r="F508" s="374"/>
      <c r="G508" s="374"/>
      <c r="H508" s="374"/>
    </row>
    <row r="509" spans="5:8">
      <c r="E509" s="374"/>
      <c r="F509" s="374"/>
      <c r="G509" s="374"/>
      <c r="H509" s="374"/>
    </row>
    <row r="510" spans="5:8">
      <c r="E510" s="374"/>
      <c r="F510" s="374"/>
      <c r="G510" s="374"/>
      <c r="H510" s="374"/>
    </row>
    <row r="511" spans="5:8">
      <c r="E511" s="374"/>
      <c r="F511" s="374"/>
      <c r="G511" s="374"/>
      <c r="H511" s="374"/>
    </row>
    <row r="512" spans="5:8">
      <c r="E512" s="374"/>
      <c r="F512" s="374"/>
      <c r="G512" s="374"/>
      <c r="H512" s="374"/>
    </row>
    <row r="513" spans="5:8">
      <c r="E513" s="374"/>
      <c r="F513" s="374"/>
      <c r="G513" s="374"/>
      <c r="H513" s="374"/>
    </row>
    <row r="514" spans="5:8">
      <c r="E514" s="374"/>
      <c r="F514" s="374"/>
      <c r="G514" s="374"/>
      <c r="H514" s="374"/>
    </row>
    <row r="515" spans="5:8">
      <c r="E515" s="374"/>
      <c r="F515" s="374"/>
      <c r="G515" s="374"/>
      <c r="H515" s="374"/>
    </row>
    <row r="516" spans="5:8">
      <c r="E516" s="374"/>
      <c r="F516" s="374"/>
      <c r="G516" s="374"/>
      <c r="H516" s="374"/>
    </row>
    <row r="517" spans="5:8">
      <c r="E517" s="374"/>
      <c r="F517" s="374"/>
      <c r="G517" s="374"/>
      <c r="H517" s="374"/>
    </row>
    <row r="518" spans="5:8">
      <c r="E518" s="374"/>
      <c r="F518" s="374"/>
      <c r="G518" s="374"/>
      <c r="H518" s="374"/>
    </row>
    <row r="519" spans="5:8">
      <c r="E519" s="374"/>
      <c r="F519" s="374"/>
      <c r="G519" s="374"/>
      <c r="H519" s="374"/>
    </row>
    <row r="520" spans="5:8">
      <c r="E520" s="374"/>
      <c r="F520" s="374"/>
      <c r="G520" s="374"/>
      <c r="H520" s="374"/>
    </row>
    <row r="521" spans="5:8">
      <c r="E521" s="374"/>
      <c r="F521" s="374"/>
      <c r="G521" s="374"/>
      <c r="H521" s="374"/>
    </row>
    <row r="522" spans="5:8">
      <c r="E522" s="374"/>
      <c r="F522" s="374"/>
      <c r="G522" s="374"/>
      <c r="H522" s="374"/>
    </row>
    <row r="523" spans="5:8">
      <c r="E523" s="374"/>
      <c r="F523" s="374"/>
      <c r="G523" s="374"/>
      <c r="H523" s="374"/>
    </row>
    <row r="524" spans="5:8">
      <c r="E524" s="374"/>
      <c r="F524" s="374"/>
      <c r="G524" s="374"/>
      <c r="H524" s="374"/>
    </row>
    <row r="525" spans="5:8">
      <c r="E525" s="374"/>
      <c r="F525" s="374"/>
      <c r="G525" s="374"/>
      <c r="H525" s="374"/>
    </row>
    <row r="526" spans="5:8">
      <c r="E526" s="374"/>
      <c r="F526" s="374"/>
      <c r="G526" s="374"/>
      <c r="H526" s="374"/>
    </row>
    <row r="527" spans="5:8">
      <c r="E527" s="374"/>
      <c r="F527" s="374"/>
      <c r="G527" s="374"/>
      <c r="H527" s="374"/>
    </row>
    <row r="528" spans="5:8">
      <c r="E528" s="374"/>
      <c r="F528" s="374"/>
      <c r="G528" s="374"/>
      <c r="H528" s="374"/>
    </row>
    <row r="529" spans="5:8">
      <c r="E529" s="374"/>
      <c r="F529" s="374"/>
      <c r="G529" s="374"/>
      <c r="H529" s="374"/>
    </row>
    <row r="530" spans="5:8">
      <c r="E530" s="374"/>
      <c r="F530" s="374"/>
      <c r="G530" s="374"/>
      <c r="H530" s="374"/>
    </row>
    <row r="531" spans="5:8">
      <c r="E531" s="374"/>
      <c r="F531" s="374"/>
      <c r="G531" s="374"/>
      <c r="H531" s="374"/>
    </row>
    <row r="532" spans="5:8">
      <c r="E532" s="374"/>
      <c r="F532" s="374"/>
      <c r="G532" s="374"/>
      <c r="H532" s="374"/>
    </row>
    <row r="533" spans="5:8">
      <c r="E533" s="374"/>
      <c r="F533" s="374"/>
      <c r="G533" s="374"/>
      <c r="H533" s="374"/>
    </row>
    <row r="534" spans="5:8">
      <c r="E534" s="374"/>
      <c r="F534" s="374"/>
      <c r="G534" s="374"/>
      <c r="H534" s="374"/>
    </row>
    <row r="535" spans="5:8">
      <c r="E535" s="374"/>
      <c r="F535" s="374"/>
      <c r="G535" s="374"/>
      <c r="H535" s="374"/>
    </row>
    <row r="536" spans="5:8">
      <c r="E536" s="374"/>
      <c r="F536" s="374"/>
      <c r="G536" s="374"/>
      <c r="H536" s="374"/>
    </row>
    <row r="537" spans="5:8">
      <c r="E537" s="374"/>
      <c r="F537" s="374"/>
      <c r="G537" s="374"/>
      <c r="H537" s="374"/>
    </row>
    <row r="538" spans="5:8">
      <c r="E538" s="374"/>
      <c r="F538" s="374"/>
      <c r="G538" s="374"/>
      <c r="H538" s="374"/>
    </row>
    <row r="539" spans="5:8">
      <c r="E539" s="374"/>
      <c r="F539" s="374"/>
      <c r="G539" s="374"/>
      <c r="H539" s="374"/>
    </row>
    <row r="540" spans="5:8">
      <c r="E540" s="374"/>
      <c r="F540" s="374"/>
      <c r="G540" s="374"/>
      <c r="H540" s="374"/>
    </row>
    <row r="541" spans="5:8">
      <c r="E541" s="374"/>
      <c r="F541" s="374"/>
      <c r="G541" s="374"/>
      <c r="H541" s="374"/>
    </row>
    <row r="542" spans="5:8">
      <c r="E542" s="374"/>
      <c r="F542" s="374"/>
      <c r="G542" s="374"/>
      <c r="H542" s="374"/>
    </row>
    <row r="543" spans="5:8">
      <c r="E543" s="374"/>
      <c r="F543" s="374"/>
      <c r="G543" s="374"/>
      <c r="H543" s="374"/>
    </row>
    <row r="544" spans="5:8">
      <c r="E544" s="374"/>
      <c r="F544" s="374"/>
      <c r="G544" s="374"/>
      <c r="H544" s="374"/>
    </row>
    <row r="545" spans="5:8">
      <c r="E545" s="374"/>
      <c r="F545" s="374"/>
      <c r="G545" s="374"/>
      <c r="H545" s="374"/>
    </row>
    <row r="546" spans="5:8">
      <c r="E546" s="374"/>
      <c r="F546" s="374"/>
      <c r="G546" s="374"/>
      <c r="H546" s="374"/>
    </row>
    <row r="547" spans="5:8">
      <c r="E547" s="374"/>
      <c r="F547" s="374"/>
      <c r="G547" s="374"/>
      <c r="H547" s="374"/>
    </row>
    <row r="548" spans="5:8">
      <c r="E548" s="374"/>
      <c r="F548" s="374"/>
      <c r="G548" s="374"/>
      <c r="H548" s="374"/>
    </row>
    <row r="549" spans="5:8">
      <c r="E549" s="374"/>
      <c r="F549" s="374"/>
      <c r="G549" s="374"/>
      <c r="H549" s="374"/>
    </row>
    <row r="550" spans="5:8">
      <c r="E550" s="374"/>
      <c r="F550" s="374"/>
      <c r="G550" s="374"/>
      <c r="H550" s="374"/>
    </row>
    <row r="551" spans="5:8">
      <c r="E551" s="374"/>
      <c r="F551" s="374"/>
      <c r="G551" s="374"/>
      <c r="H551" s="374"/>
    </row>
    <row r="552" spans="5:8">
      <c r="E552" s="374"/>
      <c r="F552" s="374"/>
      <c r="G552" s="374"/>
      <c r="H552" s="374"/>
    </row>
    <row r="553" spans="5:8">
      <c r="E553" s="374"/>
      <c r="F553" s="374"/>
      <c r="G553" s="374"/>
      <c r="H553" s="374"/>
    </row>
    <row r="554" spans="5:8">
      <c r="E554" s="374"/>
      <c r="F554" s="374"/>
      <c r="G554" s="374"/>
      <c r="H554" s="374"/>
    </row>
    <row r="555" spans="5:8">
      <c r="E555" s="374"/>
      <c r="F555" s="374"/>
      <c r="G555" s="374"/>
      <c r="H555" s="374"/>
    </row>
    <row r="556" spans="5:8">
      <c r="E556" s="374"/>
      <c r="F556" s="374"/>
      <c r="G556" s="374"/>
      <c r="H556" s="374"/>
    </row>
    <row r="557" spans="5:8">
      <c r="E557" s="374"/>
      <c r="F557" s="374"/>
      <c r="G557" s="374"/>
      <c r="H557" s="374"/>
    </row>
    <row r="558" spans="5:8">
      <c r="E558" s="374"/>
      <c r="F558" s="374"/>
      <c r="G558" s="374"/>
      <c r="H558" s="374"/>
    </row>
    <row r="559" spans="5:8">
      <c r="E559" s="374"/>
      <c r="F559" s="374"/>
      <c r="G559" s="374"/>
      <c r="H559" s="374"/>
    </row>
    <row r="560" spans="5:8">
      <c r="E560" s="374"/>
      <c r="F560" s="374"/>
      <c r="G560" s="374"/>
      <c r="H560" s="374"/>
    </row>
    <row r="561" spans="5:8">
      <c r="E561" s="374"/>
      <c r="F561" s="374"/>
      <c r="G561" s="374"/>
      <c r="H561" s="374"/>
    </row>
    <row r="562" spans="5:8">
      <c r="E562" s="374"/>
      <c r="F562" s="374"/>
      <c r="G562" s="374"/>
      <c r="H562" s="374"/>
    </row>
    <row r="563" spans="5:8">
      <c r="E563" s="374"/>
      <c r="F563" s="374"/>
      <c r="G563" s="374"/>
      <c r="H563" s="374"/>
    </row>
    <row r="564" spans="5:8">
      <c r="E564" s="374"/>
      <c r="F564" s="374"/>
      <c r="G564" s="374"/>
      <c r="H564" s="374"/>
    </row>
    <row r="565" spans="5:8">
      <c r="E565" s="374"/>
      <c r="F565" s="374"/>
      <c r="G565" s="374"/>
      <c r="H565" s="374"/>
    </row>
    <row r="566" spans="5:8">
      <c r="E566" s="374"/>
      <c r="F566" s="374"/>
      <c r="G566" s="374"/>
      <c r="H566" s="374"/>
    </row>
    <row r="567" spans="5:8">
      <c r="E567" s="374"/>
      <c r="F567" s="374"/>
      <c r="G567" s="374"/>
      <c r="H567" s="374"/>
    </row>
    <row r="568" spans="5:8">
      <c r="E568" s="374"/>
      <c r="F568" s="374"/>
      <c r="G568" s="374"/>
      <c r="H568" s="374"/>
    </row>
    <row r="569" spans="5:8">
      <c r="E569" s="374"/>
      <c r="F569" s="374"/>
      <c r="G569" s="374"/>
      <c r="H569" s="374"/>
    </row>
    <row r="570" spans="5:8">
      <c r="E570" s="374"/>
      <c r="F570" s="374"/>
      <c r="G570" s="374"/>
      <c r="H570" s="374"/>
    </row>
    <row r="571" spans="5:8">
      <c r="E571" s="374"/>
      <c r="F571" s="374"/>
      <c r="G571" s="374"/>
      <c r="H571" s="374"/>
    </row>
    <row r="572" spans="5:8">
      <c r="E572" s="374"/>
      <c r="F572" s="374"/>
      <c r="G572" s="374"/>
      <c r="H572" s="374"/>
    </row>
    <row r="573" spans="5:8">
      <c r="E573" s="374"/>
      <c r="F573" s="374"/>
      <c r="G573" s="374"/>
      <c r="H573" s="374"/>
    </row>
    <row r="574" spans="5:8">
      <c r="E574" s="374"/>
      <c r="F574" s="374"/>
      <c r="G574" s="374"/>
      <c r="H574" s="374"/>
    </row>
    <row r="575" spans="5:8">
      <c r="E575" s="374"/>
      <c r="F575" s="374"/>
      <c r="G575" s="374"/>
      <c r="H575" s="374"/>
    </row>
    <row r="576" spans="5:8">
      <c r="E576" s="374"/>
      <c r="F576" s="374"/>
      <c r="G576" s="374"/>
      <c r="H576" s="374"/>
    </row>
    <row r="577" spans="5:8">
      <c r="E577" s="374"/>
      <c r="F577" s="374"/>
      <c r="G577" s="374"/>
      <c r="H577" s="374"/>
    </row>
    <row r="578" spans="5:8">
      <c r="E578" s="374"/>
      <c r="F578" s="374"/>
      <c r="G578" s="374"/>
      <c r="H578" s="374"/>
    </row>
    <row r="579" spans="5:8">
      <c r="E579" s="374"/>
      <c r="F579" s="374"/>
      <c r="G579" s="374"/>
      <c r="H579" s="374"/>
    </row>
    <row r="580" spans="5:8">
      <c r="E580" s="374"/>
      <c r="F580" s="374"/>
      <c r="G580" s="374"/>
      <c r="H580" s="374"/>
    </row>
    <row r="581" spans="5:8">
      <c r="E581" s="374"/>
      <c r="F581" s="374"/>
      <c r="G581" s="374"/>
      <c r="H581" s="374"/>
    </row>
    <row r="582" spans="5:8">
      <c r="E582" s="374"/>
      <c r="F582" s="374"/>
      <c r="G582" s="374"/>
      <c r="H582" s="374"/>
    </row>
    <row r="583" spans="5:8">
      <c r="E583" s="374"/>
      <c r="F583" s="374"/>
      <c r="G583" s="374"/>
      <c r="H583" s="374"/>
    </row>
    <row r="584" spans="5:8">
      <c r="E584" s="374"/>
      <c r="F584" s="374"/>
      <c r="G584" s="374"/>
      <c r="H584" s="374"/>
    </row>
    <row r="585" spans="5:8">
      <c r="E585" s="374"/>
      <c r="F585" s="374"/>
      <c r="G585" s="374"/>
      <c r="H585" s="374"/>
    </row>
    <row r="586" spans="5:8">
      <c r="E586" s="374"/>
      <c r="F586" s="374"/>
      <c r="G586" s="374"/>
      <c r="H586" s="374"/>
    </row>
    <row r="587" spans="5:8">
      <c r="E587" s="374"/>
      <c r="F587" s="374"/>
      <c r="G587" s="374"/>
      <c r="H587" s="374"/>
    </row>
    <row r="588" spans="5:8">
      <c r="E588" s="374"/>
      <c r="F588" s="374"/>
      <c r="G588" s="374"/>
      <c r="H588" s="374"/>
    </row>
    <row r="589" spans="5:8">
      <c r="E589" s="374"/>
      <c r="F589" s="374"/>
      <c r="G589" s="374"/>
      <c r="H589" s="374"/>
    </row>
    <row r="590" spans="5:8">
      <c r="E590" s="374"/>
      <c r="F590" s="374"/>
      <c r="G590" s="374"/>
      <c r="H590" s="374"/>
    </row>
    <row r="591" spans="5:8">
      <c r="E591" s="374"/>
      <c r="F591" s="374"/>
      <c r="G591" s="374"/>
      <c r="H591" s="374"/>
    </row>
    <row r="592" spans="5:8">
      <c r="E592" s="374"/>
      <c r="F592" s="374"/>
      <c r="G592" s="374"/>
      <c r="H592" s="374"/>
    </row>
    <row r="593" spans="5:8">
      <c r="E593" s="374"/>
      <c r="F593" s="374"/>
      <c r="G593" s="374"/>
      <c r="H593" s="374"/>
    </row>
    <row r="594" spans="5:8">
      <c r="E594" s="374"/>
      <c r="F594" s="374"/>
      <c r="G594" s="374"/>
      <c r="H594" s="374"/>
    </row>
    <row r="595" spans="5:8">
      <c r="E595" s="374"/>
      <c r="F595" s="374"/>
      <c r="G595" s="374"/>
      <c r="H595" s="374"/>
    </row>
    <row r="596" spans="5:8">
      <c r="E596" s="374"/>
      <c r="F596" s="374"/>
      <c r="G596" s="374"/>
      <c r="H596" s="374"/>
    </row>
    <row r="597" spans="5:8">
      <c r="E597" s="374"/>
      <c r="F597" s="374"/>
      <c r="G597" s="374"/>
      <c r="H597" s="374"/>
    </row>
    <row r="598" spans="5:8">
      <c r="E598" s="374"/>
      <c r="F598" s="374"/>
      <c r="G598" s="374"/>
      <c r="H598" s="374"/>
    </row>
    <row r="599" spans="5:8">
      <c r="E599" s="374"/>
      <c r="F599" s="374"/>
      <c r="G599" s="374"/>
      <c r="H599" s="374"/>
    </row>
    <row r="600" spans="5:8">
      <c r="E600" s="374"/>
      <c r="F600" s="374"/>
      <c r="G600" s="374"/>
      <c r="H600" s="374"/>
    </row>
    <row r="601" spans="5:8">
      <c r="E601" s="374"/>
      <c r="F601" s="374"/>
      <c r="G601" s="374"/>
      <c r="H601" s="374"/>
    </row>
    <row r="602" spans="5:8">
      <c r="E602" s="374"/>
      <c r="F602" s="374"/>
      <c r="G602" s="374"/>
      <c r="H602" s="374"/>
    </row>
    <row r="603" spans="5:8">
      <c r="E603" s="374"/>
      <c r="F603" s="374"/>
      <c r="G603" s="374"/>
      <c r="H603" s="374"/>
    </row>
    <row r="604" spans="5:8">
      <c r="E604" s="374"/>
      <c r="F604" s="374"/>
      <c r="G604" s="374"/>
      <c r="H604" s="374"/>
    </row>
    <row r="605" spans="5:8">
      <c r="E605" s="374"/>
      <c r="F605" s="374"/>
      <c r="G605" s="374"/>
      <c r="H605" s="374"/>
    </row>
    <row r="606" spans="5:8">
      <c r="E606" s="374"/>
      <c r="F606" s="374"/>
      <c r="G606" s="374"/>
      <c r="H606" s="374"/>
    </row>
    <row r="607" spans="5:8">
      <c r="E607" s="374"/>
      <c r="F607" s="374"/>
      <c r="G607" s="374"/>
      <c r="H607" s="374"/>
    </row>
    <row r="608" spans="5:8">
      <c r="E608" s="374"/>
      <c r="F608" s="374"/>
      <c r="G608" s="374"/>
      <c r="H608" s="374"/>
    </row>
    <row r="609" spans="5:8">
      <c r="E609" s="374"/>
      <c r="F609" s="374"/>
      <c r="G609" s="374"/>
      <c r="H609" s="374"/>
    </row>
    <row r="610" spans="5:8">
      <c r="E610" s="374"/>
      <c r="F610" s="374"/>
      <c r="G610" s="374"/>
      <c r="H610" s="374"/>
    </row>
    <row r="611" spans="5:8">
      <c r="E611" s="374"/>
      <c r="F611" s="374"/>
      <c r="G611" s="374"/>
      <c r="H611" s="374"/>
    </row>
    <row r="612" spans="5:8">
      <c r="E612" s="374"/>
      <c r="F612" s="374"/>
      <c r="G612" s="374"/>
      <c r="H612" s="374"/>
    </row>
    <row r="613" spans="5:8">
      <c r="E613" s="374"/>
      <c r="F613" s="374"/>
      <c r="G613" s="374"/>
      <c r="H613" s="374"/>
    </row>
    <row r="614" spans="5:8">
      <c r="E614" s="374"/>
      <c r="F614" s="374"/>
      <c r="G614" s="374"/>
      <c r="H614" s="374"/>
    </row>
    <row r="615" spans="5:8">
      <c r="E615" s="374"/>
      <c r="F615" s="374"/>
      <c r="G615" s="374"/>
      <c r="H615" s="374"/>
    </row>
    <row r="616" spans="5:8">
      <c r="E616" s="374"/>
      <c r="F616" s="374"/>
      <c r="G616" s="374"/>
      <c r="H616" s="374"/>
    </row>
    <row r="617" spans="5:8">
      <c r="E617" s="374"/>
      <c r="F617" s="374"/>
      <c r="G617" s="374"/>
      <c r="H617" s="374"/>
    </row>
    <row r="618" spans="5:8">
      <c r="E618" s="374"/>
      <c r="F618" s="374"/>
      <c r="G618" s="374"/>
      <c r="H618" s="374"/>
    </row>
    <row r="619" spans="5:8">
      <c r="E619" s="374"/>
      <c r="F619" s="374"/>
      <c r="G619" s="374"/>
      <c r="H619" s="374"/>
    </row>
    <row r="620" spans="5:8">
      <c r="E620" s="374"/>
      <c r="F620" s="374"/>
      <c r="G620" s="374"/>
      <c r="H620" s="374"/>
    </row>
    <row r="621" spans="5:8">
      <c r="E621" s="374"/>
      <c r="F621" s="374"/>
      <c r="G621" s="374"/>
      <c r="H621" s="374"/>
    </row>
    <row r="622" spans="5:8">
      <c r="E622" s="374"/>
      <c r="F622" s="374"/>
      <c r="G622" s="374"/>
      <c r="H622" s="374"/>
    </row>
    <row r="623" spans="5:8">
      <c r="E623" s="374"/>
      <c r="F623" s="374"/>
      <c r="G623" s="374"/>
      <c r="H623" s="374"/>
    </row>
    <row r="624" spans="5:8">
      <c r="E624" s="374"/>
      <c r="F624" s="374"/>
      <c r="G624" s="374"/>
      <c r="H624" s="374"/>
    </row>
    <row r="625" spans="5:8">
      <c r="E625" s="374"/>
      <c r="F625" s="374"/>
      <c r="G625" s="374"/>
      <c r="H625" s="374"/>
    </row>
    <row r="626" spans="5:8">
      <c r="E626" s="374"/>
      <c r="F626" s="374"/>
      <c r="G626" s="374"/>
      <c r="H626" s="374"/>
    </row>
    <row r="627" spans="5:8">
      <c r="E627" s="374"/>
      <c r="F627" s="374"/>
      <c r="G627" s="374"/>
      <c r="H627" s="374"/>
    </row>
    <row r="628" spans="5:8">
      <c r="E628" s="374"/>
      <c r="F628" s="374"/>
      <c r="G628" s="374"/>
      <c r="H628" s="374"/>
    </row>
    <row r="629" spans="5:8">
      <c r="E629" s="374"/>
      <c r="F629" s="374"/>
      <c r="G629" s="374"/>
      <c r="H629" s="374"/>
    </row>
    <row r="630" spans="5:8">
      <c r="E630" s="374"/>
      <c r="F630" s="374"/>
      <c r="G630" s="374"/>
      <c r="H630" s="374"/>
    </row>
    <row r="631" spans="5:8">
      <c r="E631" s="374"/>
      <c r="F631" s="374"/>
      <c r="G631" s="374"/>
      <c r="H631" s="374"/>
    </row>
    <row r="632" spans="5:8">
      <c r="E632" s="374"/>
      <c r="F632" s="374"/>
      <c r="G632" s="374"/>
      <c r="H632" s="374"/>
    </row>
    <row r="633" spans="5:8">
      <c r="E633" s="374"/>
      <c r="F633" s="374"/>
      <c r="G633" s="374"/>
      <c r="H633" s="374"/>
    </row>
    <row r="634" spans="5:8">
      <c r="E634" s="374"/>
      <c r="F634" s="374"/>
      <c r="G634" s="374"/>
      <c r="H634" s="374"/>
    </row>
    <row r="635" spans="5:8">
      <c r="E635" s="374"/>
      <c r="F635" s="374"/>
      <c r="G635" s="374"/>
      <c r="H635" s="374"/>
    </row>
    <row r="636" spans="5:8">
      <c r="E636" s="374"/>
      <c r="F636" s="374"/>
      <c r="G636" s="374"/>
      <c r="H636" s="374"/>
    </row>
    <row r="637" spans="5:8">
      <c r="E637" s="374"/>
      <c r="F637" s="374"/>
      <c r="G637" s="374"/>
      <c r="H637" s="374"/>
    </row>
    <row r="638" spans="5:8">
      <c r="E638" s="374"/>
      <c r="F638" s="374"/>
      <c r="G638" s="374"/>
      <c r="H638" s="374"/>
    </row>
    <row r="639" spans="5:8">
      <c r="E639" s="374"/>
      <c r="F639" s="374"/>
      <c r="G639" s="374"/>
      <c r="H639" s="374"/>
    </row>
    <row r="640" spans="5:8">
      <c r="E640" s="374"/>
      <c r="F640" s="374"/>
      <c r="G640" s="374"/>
      <c r="H640" s="374"/>
    </row>
    <row r="641" spans="5:8">
      <c r="E641" s="374"/>
      <c r="F641" s="374"/>
      <c r="G641" s="374"/>
      <c r="H641" s="374"/>
    </row>
    <row r="642" spans="5:8">
      <c r="E642" s="374"/>
      <c r="F642" s="374"/>
      <c r="G642" s="374"/>
      <c r="H642" s="374"/>
    </row>
    <row r="643" spans="5:8">
      <c r="E643" s="374"/>
      <c r="F643" s="374"/>
      <c r="G643" s="374"/>
      <c r="H643" s="374"/>
    </row>
    <row r="644" spans="5:8">
      <c r="E644" s="374"/>
      <c r="F644" s="374"/>
      <c r="G644" s="374"/>
      <c r="H644" s="374"/>
    </row>
    <row r="645" spans="5:8">
      <c r="E645" s="374"/>
      <c r="F645" s="374"/>
      <c r="G645" s="374"/>
      <c r="H645" s="374"/>
    </row>
    <row r="646" spans="5:8">
      <c r="E646" s="374"/>
      <c r="F646" s="374"/>
      <c r="G646" s="374"/>
      <c r="H646" s="374"/>
    </row>
    <row r="647" spans="5:8">
      <c r="E647" s="374"/>
      <c r="F647" s="374"/>
      <c r="G647" s="374"/>
      <c r="H647" s="374"/>
    </row>
    <row r="648" spans="5:8">
      <c r="E648" s="374"/>
      <c r="F648" s="374"/>
      <c r="G648" s="374"/>
      <c r="H648" s="374"/>
    </row>
    <row r="649" spans="5:8">
      <c r="E649" s="374"/>
      <c r="F649" s="374"/>
      <c r="G649" s="374"/>
      <c r="H649" s="374"/>
    </row>
    <row r="650" spans="5:8">
      <c r="E650" s="374"/>
      <c r="F650" s="374"/>
      <c r="G650" s="374"/>
      <c r="H650" s="374"/>
    </row>
    <row r="651" spans="5:8">
      <c r="E651" s="374"/>
      <c r="F651" s="374"/>
      <c r="G651" s="374"/>
      <c r="H651" s="374"/>
    </row>
    <row r="652" spans="5:8">
      <c r="E652" s="374"/>
      <c r="F652" s="374"/>
      <c r="G652" s="374"/>
      <c r="H652" s="374"/>
    </row>
    <row r="653" spans="5:8">
      <c r="E653" s="374"/>
      <c r="F653" s="374"/>
      <c r="G653" s="374"/>
      <c r="H653" s="374"/>
    </row>
    <row r="654" spans="5:8">
      <c r="E654" s="374"/>
      <c r="F654" s="374"/>
      <c r="G654" s="374"/>
      <c r="H654" s="374"/>
    </row>
    <row r="655" spans="5:8">
      <c r="E655" s="374"/>
      <c r="F655" s="374"/>
      <c r="G655" s="374"/>
      <c r="H655" s="374"/>
    </row>
    <row r="656" spans="5:8">
      <c r="E656" s="374"/>
      <c r="F656" s="374"/>
      <c r="G656" s="374"/>
      <c r="H656" s="374"/>
    </row>
    <row r="657" spans="5:8">
      <c r="E657" s="374"/>
      <c r="F657" s="374"/>
      <c r="G657" s="374"/>
      <c r="H657" s="374"/>
    </row>
    <row r="658" spans="5:8">
      <c r="E658" s="374"/>
      <c r="F658" s="374"/>
      <c r="G658" s="374"/>
      <c r="H658" s="374"/>
    </row>
    <row r="659" spans="5:8">
      <c r="E659" s="374"/>
      <c r="F659" s="374"/>
      <c r="G659" s="374"/>
      <c r="H659" s="374"/>
    </row>
    <row r="660" spans="5:8">
      <c r="E660" s="374"/>
      <c r="F660" s="374"/>
      <c r="G660" s="374"/>
      <c r="H660" s="374"/>
    </row>
    <row r="661" spans="5:8">
      <c r="E661" s="374"/>
      <c r="F661" s="374"/>
      <c r="G661" s="374"/>
      <c r="H661" s="374"/>
    </row>
    <row r="662" spans="5:8">
      <c r="E662" s="374"/>
      <c r="F662" s="374"/>
      <c r="G662" s="374"/>
      <c r="H662" s="374"/>
    </row>
    <row r="663" spans="5:8">
      <c r="E663" s="374"/>
      <c r="F663" s="374"/>
      <c r="G663" s="374"/>
      <c r="H663" s="374"/>
    </row>
    <row r="664" spans="5:8">
      <c r="E664" s="374"/>
      <c r="F664" s="374"/>
      <c r="G664" s="374"/>
      <c r="H664" s="374"/>
    </row>
    <row r="665" spans="5:8">
      <c r="E665" s="374"/>
      <c r="F665" s="374"/>
      <c r="G665" s="374"/>
      <c r="H665" s="374"/>
    </row>
    <row r="666" spans="5:8">
      <c r="E666" s="374"/>
      <c r="F666" s="374"/>
      <c r="G666" s="374"/>
      <c r="H666" s="374"/>
    </row>
    <row r="667" spans="5:8">
      <c r="E667" s="374"/>
      <c r="F667" s="374"/>
      <c r="G667" s="374"/>
      <c r="H667" s="374"/>
    </row>
    <row r="668" spans="5:8">
      <c r="E668" s="374"/>
      <c r="F668" s="374"/>
      <c r="G668" s="374"/>
      <c r="H668" s="374"/>
    </row>
    <row r="669" spans="5:8">
      <c r="E669" s="374"/>
      <c r="F669" s="374"/>
      <c r="G669" s="374"/>
      <c r="H669" s="374"/>
    </row>
    <row r="670" spans="5:8">
      <c r="E670" s="374"/>
      <c r="F670" s="374"/>
      <c r="G670" s="374"/>
      <c r="H670" s="374"/>
    </row>
    <row r="671" spans="5:8">
      <c r="E671" s="374"/>
      <c r="F671" s="374"/>
      <c r="G671" s="374"/>
      <c r="H671" s="374"/>
    </row>
    <row r="672" spans="5:8">
      <c r="E672" s="374"/>
      <c r="F672" s="374"/>
      <c r="G672" s="374"/>
      <c r="H672" s="374"/>
    </row>
    <row r="673" spans="5:8">
      <c r="E673" s="374"/>
      <c r="F673" s="374"/>
      <c r="G673" s="374"/>
      <c r="H673" s="374"/>
    </row>
    <row r="674" spans="5:8">
      <c r="E674" s="374"/>
      <c r="F674" s="374"/>
      <c r="G674" s="374"/>
      <c r="H674" s="374"/>
    </row>
    <row r="675" spans="5:8">
      <c r="E675" s="374"/>
      <c r="F675" s="374"/>
      <c r="G675" s="374"/>
      <c r="H675" s="374"/>
    </row>
    <row r="676" spans="5:8">
      <c r="E676" s="374"/>
      <c r="F676" s="374"/>
      <c r="G676" s="374"/>
      <c r="H676" s="374"/>
    </row>
    <row r="677" spans="5:8">
      <c r="E677" s="374"/>
      <c r="F677" s="374"/>
      <c r="G677" s="374"/>
      <c r="H677" s="374"/>
    </row>
    <row r="678" spans="5:8">
      <c r="E678" s="374"/>
      <c r="F678" s="374"/>
      <c r="G678" s="374"/>
      <c r="H678" s="374"/>
    </row>
    <row r="679" spans="5:8">
      <c r="E679" s="374"/>
      <c r="F679" s="374"/>
      <c r="G679" s="374"/>
      <c r="H679" s="374"/>
    </row>
    <row r="680" spans="5:8">
      <c r="E680" s="374"/>
      <c r="F680" s="374"/>
      <c r="G680" s="374"/>
      <c r="H680" s="374"/>
    </row>
    <row r="681" spans="5:8">
      <c r="E681" s="374"/>
      <c r="F681" s="374"/>
      <c r="G681" s="374"/>
      <c r="H681" s="374"/>
    </row>
    <row r="682" spans="5:8">
      <c r="E682" s="374"/>
      <c r="F682" s="374"/>
      <c r="G682" s="374"/>
      <c r="H682" s="374"/>
    </row>
    <row r="683" spans="5:8">
      <c r="E683" s="374"/>
      <c r="F683" s="374"/>
      <c r="G683" s="374"/>
      <c r="H683" s="374"/>
    </row>
    <row r="684" spans="5:8">
      <c r="E684" s="374"/>
      <c r="F684" s="374"/>
      <c r="G684" s="374"/>
      <c r="H684" s="374"/>
    </row>
    <row r="685" spans="5:8">
      <c r="E685" s="374"/>
      <c r="F685" s="374"/>
      <c r="G685" s="374"/>
      <c r="H685" s="374"/>
    </row>
    <row r="686" spans="5:8">
      <c r="E686" s="374"/>
      <c r="F686" s="374"/>
      <c r="G686" s="374"/>
      <c r="H686" s="374"/>
    </row>
    <row r="687" spans="5:8">
      <c r="E687" s="374"/>
      <c r="F687" s="374"/>
      <c r="G687" s="374"/>
      <c r="H687" s="374"/>
    </row>
    <row r="688" spans="5:8">
      <c r="E688" s="374"/>
      <c r="F688" s="374"/>
      <c r="G688" s="374"/>
      <c r="H688" s="374"/>
    </row>
    <row r="689" spans="5:8">
      <c r="E689" s="374"/>
      <c r="F689" s="374"/>
      <c r="G689" s="374"/>
      <c r="H689" s="374"/>
    </row>
    <row r="690" spans="5:8">
      <c r="E690" s="374"/>
      <c r="F690" s="374"/>
      <c r="G690" s="374"/>
      <c r="H690" s="374"/>
    </row>
    <row r="691" spans="5:8">
      <c r="E691" s="374"/>
      <c r="F691" s="374"/>
      <c r="G691" s="374"/>
      <c r="H691" s="374"/>
    </row>
    <row r="692" spans="5:8">
      <c r="E692" s="374"/>
      <c r="F692" s="374"/>
      <c r="G692" s="374"/>
      <c r="H692" s="374"/>
    </row>
    <row r="693" spans="5:8">
      <c r="E693" s="374"/>
      <c r="F693" s="374"/>
      <c r="G693" s="374"/>
      <c r="H693" s="374"/>
    </row>
    <row r="694" spans="5:8">
      <c r="E694" s="374"/>
      <c r="F694" s="374"/>
      <c r="G694" s="374"/>
      <c r="H694" s="374"/>
    </row>
    <row r="695" spans="5:8">
      <c r="E695" s="374"/>
      <c r="F695" s="374"/>
      <c r="G695" s="374"/>
      <c r="H695" s="374"/>
    </row>
    <row r="696" spans="5:8">
      <c r="E696" s="374"/>
      <c r="F696" s="374"/>
      <c r="G696" s="374"/>
      <c r="H696" s="374"/>
    </row>
    <row r="697" spans="5:8">
      <c r="E697" s="374"/>
      <c r="F697" s="374"/>
      <c r="G697" s="374"/>
      <c r="H697" s="374"/>
    </row>
    <row r="698" spans="5:8">
      <c r="E698" s="374"/>
      <c r="F698" s="374"/>
      <c r="G698" s="374"/>
      <c r="H698" s="374"/>
    </row>
    <row r="699" spans="5:8">
      <c r="E699" s="374"/>
      <c r="F699" s="374"/>
      <c r="G699" s="374"/>
      <c r="H699" s="374"/>
    </row>
    <row r="700" spans="5:8">
      <c r="E700" s="374"/>
      <c r="F700" s="374"/>
      <c r="G700" s="374"/>
      <c r="H700" s="374"/>
    </row>
    <row r="701" spans="5:8">
      <c r="E701" s="374"/>
      <c r="F701" s="374"/>
      <c r="G701" s="374"/>
      <c r="H701" s="374"/>
    </row>
    <row r="702" spans="5:8">
      <c r="E702" s="374"/>
      <c r="F702" s="374"/>
      <c r="G702" s="374"/>
      <c r="H702" s="374"/>
    </row>
    <row r="703" spans="5:8">
      <c r="E703" s="374"/>
      <c r="F703" s="374"/>
      <c r="G703" s="374"/>
      <c r="H703" s="374"/>
    </row>
    <row r="704" spans="5:8">
      <c r="E704" s="374"/>
      <c r="F704" s="374"/>
      <c r="G704" s="374"/>
      <c r="H704" s="374"/>
    </row>
    <row r="705" spans="5:8">
      <c r="E705" s="374"/>
      <c r="F705" s="374"/>
      <c r="G705" s="374"/>
      <c r="H705" s="374"/>
    </row>
    <row r="706" spans="5:8">
      <c r="E706" s="374"/>
      <c r="F706" s="374"/>
      <c r="G706" s="374"/>
      <c r="H706" s="374"/>
    </row>
    <row r="707" spans="5:8">
      <c r="E707" s="374"/>
      <c r="F707" s="374"/>
      <c r="G707" s="374"/>
      <c r="H707" s="374"/>
    </row>
    <row r="708" spans="5:8">
      <c r="E708" s="374"/>
      <c r="F708" s="374"/>
      <c r="G708" s="374"/>
      <c r="H708" s="374"/>
    </row>
    <row r="709" spans="5:8">
      <c r="E709" s="374"/>
      <c r="F709" s="374"/>
      <c r="G709" s="374"/>
      <c r="H709" s="374"/>
    </row>
    <row r="710" spans="5:8">
      <c r="E710" s="374"/>
      <c r="F710" s="374"/>
      <c r="G710" s="374"/>
      <c r="H710" s="374"/>
    </row>
    <row r="711" spans="5:8">
      <c r="E711" s="374"/>
      <c r="F711" s="374"/>
      <c r="G711" s="374"/>
      <c r="H711" s="374"/>
    </row>
    <row r="712" spans="5:8">
      <c r="E712" s="374"/>
      <c r="F712" s="374"/>
      <c r="G712" s="374"/>
      <c r="H712" s="374"/>
    </row>
    <row r="713" spans="5:8">
      <c r="E713" s="374"/>
      <c r="F713" s="374"/>
      <c r="G713" s="374"/>
      <c r="H713" s="374"/>
    </row>
    <row r="714" spans="5:8">
      <c r="E714" s="374"/>
      <c r="F714" s="374"/>
      <c r="G714" s="374"/>
      <c r="H714" s="374"/>
    </row>
    <row r="715" spans="5:8">
      <c r="E715" s="374"/>
      <c r="F715" s="374"/>
      <c r="G715" s="374"/>
      <c r="H715" s="374"/>
    </row>
    <row r="716" spans="5:8">
      <c r="E716" s="374"/>
      <c r="F716" s="374"/>
      <c r="G716" s="374"/>
      <c r="H716" s="374"/>
    </row>
    <row r="717" spans="5:8">
      <c r="E717" s="374"/>
      <c r="F717" s="374"/>
      <c r="G717" s="374"/>
      <c r="H717" s="374"/>
    </row>
    <row r="718" spans="5:8">
      <c r="E718" s="374"/>
      <c r="F718" s="374"/>
      <c r="G718" s="374"/>
      <c r="H718" s="374"/>
    </row>
    <row r="719" spans="5:8">
      <c r="E719" s="374"/>
      <c r="F719" s="374"/>
      <c r="G719" s="374"/>
      <c r="H719" s="374"/>
    </row>
    <row r="720" spans="5:8">
      <c r="E720" s="374"/>
      <c r="F720" s="374"/>
      <c r="G720" s="374"/>
      <c r="H720" s="374"/>
    </row>
    <row r="721" spans="5:8">
      <c r="E721" s="374"/>
      <c r="F721" s="374"/>
      <c r="G721" s="374"/>
      <c r="H721" s="374"/>
    </row>
    <row r="722" spans="5:8">
      <c r="E722" s="374"/>
      <c r="F722" s="374"/>
      <c r="G722" s="374"/>
      <c r="H722" s="374"/>
    </row>
    <row r="723" spans="5:8">
      <c r="E723" s="374"/>
      <c r="F723" s="374"/>
      <c r="G723" s="374"/>
      <c r="H723" s="374"/>
    </row>
    <row r="724" spans="5:8">
      <c r="E724" s="374"/>
      <c r="F724" s="374"/>
      <c r="G724" s="374"/>
      <c r="H724" s="374"/>
    </row>
    <row r="725" spans="5:8">
      <c r="E725" s="374"/>
      <c r="F725" s="374"/>
      <c r="G725" s="374"/>
      <c r="H725" s="374"/>
    </row>
    <row r="726" spans="5:8">
      <c r="E726" s="374"/>
      <c r="F726" s="374"/>
      <c r="G726" s="374"/>
      <c r="H726" s="374"/>
    </row>
    <row r="727" spans="5:8">
      <c r="E727" s="374"/>
      <c r="F727" s="374"/>
      <c r="G727" s="374"/>
      <c r="H727" s="374"/>
    </row>
    <row r="728" spans="5:8">
      <c r="E728" s="374"/>
      <c r="F728" s="374"/>
      <c r="G728" s="374"/>
      <c r="H728" s="374"/>
    </row>
    <row r="729" spans="5:8">
      <c r="E729" s="374"/>
      <c r="F729" s="374"/>
      <c r="G729" s="374"/>
      <c r="H729" s="374"/>
    </row>
    <row r="730" spans="5:8">
      <c r="E730" s="374"/>
      <c r="F730" s="374"/>
      <c r="G730" s="374"/>
      <c r="H730" s="374"/>
    </row>
    <row r="731" spans="5:8">
      <c r="E731" s="374"/>
      <c r="F731" s="374"/>
      <c r="G731" s="374"/>
      <c r="H731" s="374"/>
    </row>
    <row r="732" spans="5:8">
      <c r="E732" s="374"/>
      <c r="F732" s="374"/>
      <c r="G732" s="374"/>
      <c r="H732" s="374"/>
    </row>
    <row r="733" spans="5:8">
      <c r="E733" s="374"/>
      <c r="F733" s="374"/>
      <c r="G733" s="374"/>
      <c r="H733" s="374"/>
    </row>
    <row r="734" spans="5:8">
      <c r="E734" s="374"/>
      <c r="F734" s="374"/>
      <c r="G734" s="374"/>
      <c r="H734" s="374"/>
    </row>
    <row r="735" spans="5:8">
      <c r="E735" s="374"/>
      <c r="F735" s="374"/>
      <c r="G735" s="374"/>
      <c r="H735" s="374"/>
    </row>
    <row r="736" spans="5:8">
      <c r="E736" s="374"/>
      <c r="F736" s="374"/>
      <c r="G736" s="374"/>
      <c r="H736" s="374"/>
    </row>
    <row r="737" spans="5:8">
      <c r="E737" s="374"/>
      <c r="F737" s="374"/>
      <c r="G737" s="374"/>
      <c r="H737" s="374"/>
    </row>
    <row r="738" spans="5:8">
      <c r="E738" s="374"/>
      <c r="F738" s="374"/>
      <c r="G738" s="374"/>
      <c r="H738" s="374"/>
    </row>
    <row r="739" spans="5:8">
      <c r="E739" s="374"/>
      <c r="F739" s="374"/>
      <c r="G739" s="374"/>
      <c r="H739" s="374"/>
    </row>
    <row r="740" spans="5:8">
      <c r="E740" s="374"/>
      <c r="F740" s="374"/>
      <c r="G740" s="374"/>
      <c r="H740" s="374"/>
    </row>
    <row r="741" spans="5:8">
      <c r="E741" s="374"/>
      <c r="F741" s="374"/>
      <c r="G741" s="374"/>
      <c r="H741" s="374"/>
    </row>
    <row r="742" spans="5:8">
      <c r="E742" s="374"/>
      <c r="F742" s="374"/>
      <c r="G742" s="374"/>
      <c r="H742" s="374"/>
    </row>
    <row r="743" spans="5:8">
      <c r="E743" s="374"/>
      <c r="F743" s="374"/>
      <c r="G743" s="374"/>
      <c r="H743" s="374"/>
    </row>
    <row r="744" spans="5:8">
      <c r="E744" s="374"/>
      <c r="F744" s="374"/>
      <c r="G744" s="374"/>
      <c r="H744" s="374"/>
    </row>
    <row r="745" spans="5:8">
      <c r="E745" s="374"/>
      <c r="F745" s="374"/>
      <c r="G745" s="374"/>
      <c r="H745" s="374"/>
    </row>
    <row r="746" spans="5:8">
      <c r="E746" s="374"/>
      <c r="F746" s="374"/>
      <c r="G746" s="374"/>
      <c r="H746" s="374"/>
    </row>
    <row r="747" spans="5:8">
      <c r="E747" s="374"/>
      <c r="F747" s="374"/>
      <c r="G747" s="374"/>
      <c r="H747" s="374"/>
    </row>
    <row r="748" spans="5:8">
      <c r="E748" s="374"/>
      <c r="F748" s="374"/>
      <c r="G748" s="374"/>
      <c r="H748" s="374"/>
    </row>
    <row r="749" spans="5:8">
      <c r="E749" s="374"/>
      <c r="F749" s="374"/>
      <c r="G749" s="374"/>
      <c r="H749" s="374"/>
    </row>
    <row r="750" spans="5:8">
      <c r="E750" s="374"/>
      <c r="F750" s="374"/>
      <c r="G750" s="374"/>
      <c r="H750" s="374"/>
    </row>
    <row r="751" spans="5:8">
      <c r="E751" s="374"/>
      <c r="F751" s="374"/>
      <c r="G751" s="374"/>
      <c r="H751" s="374"/>
    </row>
    <row r="752" spans="5:8">
      <c r="E752" s="374"/>
      <c r="F752" s="374"/>
      <c r="G752" s="374"/>
      <c r="H752" s="374"/>
    </row>
    <row r="753" spans="5:8">
      <c r="E753" s="374"/>
      <c r="F753" s="374"/>
      <c r="G753" s="374"/>
      <c r="H753" s="374"/>
    </row>
    <row r="754" spans="5:8">
      <c r="E754" s="374"/>
      <c r="F754" s="374"/>
      <c r="G754" s="374"/>
      <c r="H754" s="374"/>
    </row>
    <row r="755" spans="5:8">
      <c r="E755" s="374"/>
      <c r="F755" s="374"/>
      <c r="G755" s="374"/>
      <c r="H755" s="374"/>
    </row>
    <row r="756" spans="5:8">
      <c r="E756" s="374"/>
      <c r="F756" s="374"/>
      <c r="G756" s="374"/>
      <c r="H756" s="374"/>
    </row>
    <row r="757" spans="5:8">
      <c r="E757" s="374"/>
      <c r="F757" s="374"/>
      <c r="G757" s="374"/>
      <c r="H757" s="374"/>
    </row>
    <row r="758" spans="5:8">
      <c r="E758" s="374"/>
      <c r="F758" s="374"/>
      <c r="G758" s="374"/>
      <c r="H758" s="374"/>
    </row>
    <row r="759" spans="5:8">
      <c r="E759" s="374"/>
      <c r="F759" s="374"/>
      <c r="G759" s="374"/>
      <c r="H759" s="374"/>
    </row>
    <row r="760" spans="5:8">
      <c r="E760" s="374"/>
      <c r="F760" s="374"/>
      <c r="G760" s="374"/>
      <c r="H760" s="374"/>
    </row>
    <row r="761" spans="5:8">
      <c r="E761" s="374"/>
      <c r="F761" s="374"/>
      <c r="G761" s="374"/>
      <c r="H761" s="374"/>
    </row>
    <row r="762" spans="5:8">
      <c r="E762" s="374"/>
      <c r="F762" s="374"/>
      <c r="G762" s="374"/>
      <c r="H762" s="374"/>
    </row>
    <row r="763" spans="5:8">
      <c r="E763" s="374"/>
      <c r="F763" s="374"/>
      <c r="G763" s="374"/>
      <c r="H763" s="374"/>
    </row>
    <row r="764" spans="5:8">
      <c r="E764" s="374"/>
      <c r="F764" s="374"/>
      <c r="G764" s="374"/>
      <c r="H764" s="374"/>
    </row>
    <row r="765" spans="5:8">
      <c r="E765" s="374"/>
      <c r="F765" s="374"/>
      <c r="G765" s="374"/>
      <c r="H765" s="374"/>
    </row>
    <row r="766" spans="5:8">
      <c r="E766" s="374"/>
      <c r="F766" s="374"/>
      <c r="G766" s="374"/>
      <c r="H766" s="374"/>
    </row>
    <row r="767" spans="5:8">
      <c r="E767" s="374"/>
      <c r="F767" s="374"/>
      <c r="G767" s="374"/>
      <c r="H767" s="374"/>
    </row>
    <row r="768" spans="5:8">
      <c r="E768" s="374"/>
      <c r="F768" s="374"/>
      <c r="G768" s="374"/>
      <c r="H768" s="374"/>
    </row>
    <row r="769" spans="5:8">
      <c r="E769" s="374"/>
      <c r="F769" s="374"/>
      <c r="G769" s="374"/>
      <c r="H769" s="374"/>
    </row>
    <row r="770" spans="5:8">
      <c r="E770" s="374"/>
      <c r="F770" s="374"/>
      <c r="G770" s="374"/>
      <c r="H770" s="374"/>
    </row>
    <row r="771" spans="5:8">
      <c r="E771" s="374"/>
      <c r="F771" s="374"/>
      <c r="G771" s="374"/>
      <c r="H771" s="374"/>
    </row>
    <row r="772" spans="5:8">
      <c r="E772" s="374"/>
      <c r="F772" s="374"/>
      <c r="G772" s="374"/>
      <c r="H772" s="374"/>
    </row>
    <row r="773" spans="5:8">
      <c r="E773" s="374"/>
      <c r="F773" s="374"/>
      <c r="G773" s="374"/>
      <c r="H773" s="374"/>
    </row>
    <row r="774" spans="5:8">
      <c r="E774" s="374"/>
      <c r="F774" s="374"/>
      <c r="G774" s="374"/>
      <c r="H774" s="374"/>
    </row>
    <row r="775" spans="5:8">
      <c r="E775" s="374"/>
      <c r="F775" s="374"/>
      <c r="G775" s="374"/>
      <c r="H775" s="374"/>
    </row>
    <row r="776" spans="5:8">
      <c r="E776" s="374"/>
      <c r="F776" s="374"/>
      <c r="G776" s="374"/>
      <c r="H776" s="374"/>
    </row>
    <row r="777" spans="5:8">
      <c r="E777" s="374"/>
      <c r="F777" s="374"/>
      <c r="G777" s="374"/>
      <c r="H777" s="374"/>
    </row>
    <row r="778" spans="5:8">
      <c r="E778" s="374"/>
      <c r="F778" s="374"/>
      <c r="G778" s="374"/>
      <c r="H778" s="374"/>
    </row>
    <row r="779" spans="5:8">
      <c r="E779" s="374"/>
      <c r="F779" s="374"/>
      <c r="G779" s="374"/>
      <c r="H779" s="374"/>
    </row>
    <row r="780" spans="5:8">
      <c r="E780" s="374"/>
      <c r="F780" s="374"/>
      <c r="G780" s="374"/>
      <c r="H780" s="374"/>
    </row>
    <row r="781" spans="5:8">
      <c r="E781" s="374"/>
      <c r="F781" s="374"/>
      <c r="G781" s="374"/>
      <c r="H781" s="374"/>
    </row>
    <row r="782" spans="5:8">
      <c r="E782" s="374"/>
      <c r="F782" s="374"/>
      <c r="G782" s="374"/>
      <c r="H782" s="374"/>
    </row>
    <row r="783" spans="5:8">
      <c r="E783" s="374"/>
      <c r="F783" s="374"/>
      <c r="G783" s="374"/>
      <c r="H783" s="374"/>
    </row>
    <row r="784" spans="5:8">
      <c r="E784" s="374"/>
      <c r="F784" s="374"/>
      <c r="G784" s="374"/>
      <c r="H784" s="374"/>
    </row>
    <row r="785" spans="5:8">
      <c r="E785" s="374"/>
      <c r="F785" s="374"/>
      <c r="G785" s="374"/>
      <c r="H785" s="374"/>
    </row>
    <row r="786" spans="5:8">
      <c r="E786" s="374"/>
      <c r="F786" s="374"/>
      <c r="G786" s="374"/>
      <c r="H786" s="374"/>
    </row>
    <row r="787" spans="5:8">
      <c r="E787" s="374"/>
      <c r="F787" s="374"/>
      <c r="G787" s="374"/>
      <c r="H787" s="374"/>
    </row>
    <row r="788" spans="5:8">
      <c r="E788" s="374"/>
      <c r="F788" s="374"/>
      <c r="G788" s="374"/>
      <c r="H788" s="374"/>
    </row>
    <row r="789" spans="5:8">
      <c r="E789" s="374"/>
      <c r="F789" s="374"/>
      <c r="G789" s="374"/>
      <c r="H789" s="374"/>
    </row>
    <row r="790" spans="5:8">
      <c r="E790" s="374"/>
      <c r="F790" s="374"/>
      <c r="G790" s="374"/>
      <c r="H790" s="374"/>
    </row>
    <row r="791" spans="5:8">
      <c r="E791" s="374"/>
      <c r="F791" s="374"/>
      <c r="G791" s="374"/>
      <c r="H791" s="374"/>
    </row>
    <row r="792" spans="5:8">
      <c r="E792" s="374"/>
      <c r="F792" s="374"/>
      <c r="G792" s="374"/>
      <c r="H792" s="374"/>
    </row>
    <row r="793" spans="5:8">
      <c r="E793" s="374"/>
      <c r="F793" s="374"/>
      <c r="G793" s="374"/>
      <c r="H793" s="374"/>
    </row>
    <row r="794" spans="5:8">
      <c r="E794" s="374"/>
      <c r="F794" s="374"/>
      <c r="G794" s="374"/>
      <c r="H794" s="374"/>
    </row>
    <row r="795" spans="5:8">
      <c r="E795" s="374"/>
      <c r="F795" s="374"/>
      <c r="G795" s="374"/>
      <c r="H795" s="374"/>
    </row>
    <row r="796" spans="5:8">
      <c r="E796" s="374"/>
      <c r="F796" s="374"/>
      <c r="G796" s="374"/>
      <c r="H796" s="374"/>
    </row>
    <row r="797" spans="5:8">
      <c r="E797" s="374"/>
      <c r="F797" s="374"/>
      <c r="G797" s="374"/>
      <c r="H797" s="374"/>
    </row>
    <row r="798" spans="5:8">
      <c r="E798" s="374"/>
      <c r="F798" s="374"/>
      <c r="G798" s="374"/>
      <c r="H798" s="374"/>
    </row>
    <row r="799" spans="5:8">
      <c r="E799" s="374"/>
      <c r="F799" s="374"/>
      <c r="G799" s="374"/>
      <c r="H799" s="374"/>
    </row>
    <row r="800" spans="5:8">
      <c r="E800" s="374"/>
      <c r="F800" s="374"/>
      <c r="G800" s="374"/>
      <c r="H800" s="374"/>
    </row>
    <row r="801" spans="5:8">
      <c r="E801" s="374"/>
      <c r="F801" s="374"/>
      <c r="G801" s="374"/>
      <c r="H801" s="374"/>
    </row>
    <row r="802" spans="5:8">
      <c r="E802" s="374"/>
      <c r="F802" s="374"/>
      <c r="G802" s="374"/>
      <c r="H802" s="374"/>
    </row>
    <row r="803" spans="5:8">
      <c r="E803" s="374"/>
      <c r="F803" s="374"/>
      <c r="G803" s="374"/>
      <c r="H803" s="374"/>
    </row>
    <row r="804" spans="5:8">
      <c r="E804" s="374"/>
      <c r="F804" s="374"/>
      <c r="G804" s="374"/>
      <c r="H804" s="374"/>
    </row>
    <row r="805" spans="5:8">
      <c r="E805" s="374"/>
      <c r="F805" s="374"/>
      <c r="G805" s="374"/>
      <c r="H805" s="374"/>
    </row>
    <row r="806" spans="5:8">
      <c r="E806" s="374"/>
      <c r="F806" s="374"/>
      <c r="G806" s="374"/>
      <c r="H806" s="374"/>
    </row>
    <row r="807" spans="5:8">
      <c r="E807" s="374"/>
      <c r="F807" s="374"/>
      <c r="G807" s="374"/>
      <c r="H807" s="374"/>
    </row>
    <row r="808" spans="5:8">
      <c r="E808" s="374"/>
      <c r="F808" s="374"/>
      <c r="G808" s="374"/>
      <c r="H808" s="374"/>
    </row>
    <row r="809" spans="5:8">
      <c r="E809" s="374"/>
      <c r="F809" s="374"/>
      <c r="G809" s="374"/>
      <c r="H809" s="374"/>
    </row>
    <row r="810" spans="5:8">
      <c r="E810" s="374"/>
      <c r="F810" s="374"/>
      <c r="G810" s="374"/>
      <c r="H810" s="374"/>
    </row>
    <row r="811" spans="5:8">
      <c r="E811" s="374"/>
      <c r="F811" s="374"/>
      <c r="G811" s="374"/>
      <c r="H811" s="374"/>
    </row>
    <row r="812" spans="5:8">
      <c r="E812" s="374"/>
      <c r="F812" s="374"/>
      <c r="G812" s="374"/>
      <c r="H812" s="374"/>
    </row>
    <row r="813" spans="5:8">
      <c r="E813" s="374"/>
      <c r="F813" s="374"/>
      <c r="G813" s="374"/>
      <c r="H813" s="374"/>
    </row>
    <row r="814" spans="5:8">
      <c r="E814" s="374"/>
      <c r="F814" s="374"/>
      <c r="G814" s="374"/>
      <c r="H814" s="374"/>
    </row>
    <row r="815" spans="5:8">
      <c r="E815" s="374"/>
      <c r="F815" s="374"/>
      <c r="G815" s="374"/>
      <c r="H815" s="374"/>
    </row>
    <row r="816" spans="5:8">
      <c r="E816" s="374"/>
      <c r="F816" s="374"/>
      <c r="G816" s="374"/>
      <c r="H816" s="374"/>
    </row>
    <row r="817" spans="5:8">
      <c r="E817" s="374"/>
      <c r="F817" s="374"/>
      <c r="G817" s="374"/>
      <c r="H817" s="374"/>
    </row>
    <row r="818" spans="5:8">
      <c r="E818" s="374"/>
      <c r="F818" s="374"/>
      <c r="G818" s="374"/>
      <c r="H818" s="374"/>
    </row>
    <row r="819" spans="5:8">
      <c r="E819" s="374"/>
      <c r="F819" s="374"/>
      <c r="G819" s="374"/>
      <c r="H819" s="374"/>
    </row>
    <row r="820" spans="5:8">
      <c r="E820" s="374"/>
      <c r="F820" s="374"/>
      <c r="G820" s="374"/>
      <c r="H820" s="374"/>
    </row>
    <row r="821" spans="5:8">
      <c r="E821" s="374"/>
      <c r="F821" s="374"/>
      <c r="G821" s="374"/>
      <c r="H821" s="374"/>
    </row>
    <row r="822" spans="5:8">
      <c r="E822" s="374"/>
      <c r="F822" s="374"/>
      <c r="G822" s="374"/>
      <c r="H822" s="374"/>
    </row>
    <row r="823" spans="5:8">
      <c r="E823" s="374"/>
      <c r="F823" s="374"/>
      <c r="G823" s="374"/>
      <c r="H823" s="374"/>
    </row>
    <row r="824" spans="5:8">
      <c r="E824" s="374"/>
      <c r="F824" s="374"/>
      <c r="G824" s="374"/>
      <c r="H824" s="374"/>
    </row>
    <row r="825" spans="5:8">
      <c r="E825" s="374"/>
      <c r="F825" s="374"/>
      <c r="G825" s="374"/>
      <c r="H825" s="374"/>
    </row>
    <row r="826" spans="5:8">
      <c r="E826" s="374"/>
      <c r="F826" s="374"/>
      <c r="G826" s="374"/>
      <c r="H826" s="374"/>
    </row>
    <row r="827" spans="5:8">
      <c r="E827" s="374"/>
      <c r="F827" s="374"/>
      <c r="G827" s="374"/>
      <c r="H827" s="374"/>
    </row>
    <row r="828" spans="5:8">
      <c r="E828" s="374"/>
      <c r="F828" s="374"/>
      <c r="G828" s="374"/>
      <c r="H828" s="374"/>
    </row>
    <row r="829" spans="5:8">
      <c r="E829" s="374"/>
      <c r="F829" s="374"/>
      <c r="G829" s="374"/>
      <c r="H829" s="374"/>
    </row>
    <row r="830" spans="5:8">
      <c r="E830" s="374"/>
      <c r="F830" s="374"/>
      <c r="G830" s="374"/>
      <c r="H830" s="374"/>
    </row>
    <row r="831" spans="5:8">
      <c r="E831" s="374"/>
      <c r="F831" s="374"/>
      <c r="G831" s="374"/>
      <c r="H831" s="374"/>
    </row>
    <row r="832" spans="5:8">
      <c r="E832" s="374"/>
      <c r="F832" s="374"/>
      <c r="G832" s="374"/>
      <c r="H832" s="374"/>
    </row>
    <row r="833" spans="5:8">
      <c r="E833" s="374"/>
      <c r="F833" s="374"/>
      <c r="G833" s="374"/>
      <c r="H833" s="374"/>
    </row>
    <row r="834" spans="5:8">
      <c r="E834" s="374"/>
      <c r="F834" s="374"/>
      <c r="G834" s="374"/>
      <c r="H834" s="374"/>
    </row>
    <row r="835" spans="5:8">
      <c r="E835" s="374"/>
      <c r="F835" s="374"/>
      <c r="G835" s="374"/>
      <c r="H835" s="374"/>
    </row>
    <row r="836" spans="5:8">
      <c r="E836" s="374"/>
      <c r="F836" s="374"/>
      <c r="G836" s="374"/>
      <c r="H836" s="374"/>
    </row>
    <row r="837" spans="5:8">
      <c r="E837" s="374"/>
      <c r="F837" s="374"/>
      <c r="G837" s="374"/>
      <c r="H837" s="374"/>
    </row>
    <row r="838" spans="5:8">
      <c r="E838" s="374"/>
      <c r="F838" s="374"/>
      <c r="G838" s="374"/>
      <c r="H838" s="374"/>
    </row>
    <row r="839" spans="5:8">
      <c r="E839" s="374"/>
      <c r="F839" s="374"/>
      <c r="G839" s="374"/>
      <c r="H839" s="374"/>
    </row>
    <row r="840" spans="5:8">
      <c r="E840" s="374"/>
      <c r="F840" s="374"/>
      <c r="G840" s="374"/>
      <c r="H840" s="374"/>
    </row>
    <row r="841" spans="5:8">
      <c r="E841" s="374"/>
      <c r="F841" s="374"/>
      <c r="G841" s="374"/>
      <c r="H841" s="374"/>
    </row>
    <row r="842" spans="5:8">
      <c r="E842" s="374"/>
      <c r="F842" s="374"/>
      <c r="G842" s="374"/>
      <c r="H842" s="374"/>
    </row>
    <row r="843" spans="5:8">
      <c r="E843" s="374"/>
      <c r="F843" s="374"/>
      <c r="G843" s="374"/>
      <c r="H843" s="374"/>
    </row>
    <row r="844" spans="5:8">
      <c r="E844" s="374"/>
      <c r="F844" s="374"/>
      <c r="G844" s="374"/>
      <c r="H844" s="374"/>
    </row>
    <row r="845" spans="5:8">
      <c r="E845" s="374"/>
      <c r="F845" s="374"/>
      <c r="G845" s="374"/>
      <c r="H845" s="374"/>
    </row>
    <row r="846" spans="5:8">
      <c r="E846" s="374"/>
      <c r="F846" s="374"/>
      <c r="G846" s="374"/>
      <c r="H846" s="374"/>
    </row>
    <row r="847" spans="5:8">
      <c r="E847" s="374"/>
      <c r="F847" s="374"/>
      <c r="G847" s="374"/>
      <c r="H847" s="374"/>
    </row>
    <row r="848" spans="5:8">
      <c r="E848" s="374"/>
      <c r="F848" s="374"/>
      <c r="G848" s="374"/>
      <c r="H848" s="374"/>
    </row>
    <row r="849" spans="5:8">
      <c r="E849" s="374"/>
      <c r="F849" s="374"/>
      <c r="G849" s="374"/>
      <c r="H849" s="374"/>
    </row>
    <row r="850" spans="5:8">
      <c r="E850" s="374"/>
      <c r="F850" s="374"/>
      <c r="G850" s="374"/>
      <c r="H850" s="374"/>
    </row>
    <row r="851" spans="5:8">
      <c r="E851" s="374"/>
      <c r="F851" s="374"/>
      <c r="G851" s="374"/>
      <c r="H851" s="374"/>
    </row>
    <row r="852" spans="5:8">
      <c r="E852" s="374"/>
      <c r="F852" s="374"/>
      <c r="G852" s="374"/>
      <c r="H852" s="374"/>
    </row>
    <row r="853" spans="5:8">
      <c r="E853" s="374"/>
      <c r="F853" s="374"/>
      <c r="G853" s="374"/>
      <c r="H853" s="374"/>
    </row>
    <row r="854" spans="5:8">
      <c r="E854" s="374"/>
      <c r="F854" s="374"/>
      <c r="G854" s="374"/>
      <c r="H854" s="374"/>
    </row>
    <row r="855" spans="5:8">
      <c r="E855" s="374"/>
      <c r="F855" s="374"/>
      <c r="G855" s="374"/>
      <c r="H855" s="374"/>
    </row>
    <row r="856" spans="5:8">
      <c r="E856" s="374"/>
      <c r="F856" s="374"/>
      <c r="G856" s="374"/>
      <c r="H856" s="374"/>
    </row>
    <row r="857" spans="5:8">
      <c r="E857" s="374"/>
      <c r="F857" s="374"/>
      <c r="G857" s="374"/>
      <c r="H857" s="374"/>
    </row>
    <row r="858" spans="5:8">
      <c r="E858" s="374"/>
      <c r="F858" s="374"/>
      <c r="G858" s="374"/>
      <c r="H858" s="374"/>
    </row>
    <row r="859" spans="5:8">
      <c r="E859" s="374"/>
      <c r="F859" s="374"/>
      <c r="G859" s="374"/>
      <c r="H859" s="374"/>
    </row>
    <row r="860" spans="5:8">
      <c r="E860" s="374"/>
      <c r="F860" s="374"/>
      <c r="G860" s="374"/>
      <c r="H860" s="374"/>
    </row>
    <row r="861" spans="5:8">
      <c r="E861" s="374"/>
      <c r="F861" s="374"/>
      <c r="G861" s="374"/>
      <c r="H861" s="374"/>
    </row>
    <row r="862" spans="5:8">
      <c r="E862" s="374"/>
      <c r="F862" s="374"/>
      <c r="G862" s="374"/>
      <c r="H862" s="374"/>
    </row>
    <row r="863" spans="5:8">
      <c r="E863" s="374"/>
      <c r="F863" s="374"/>
      <c r="G863" s="374"/>
      <c r="H863" s="374"/>
    </row>
    <row r="864" spans="5:8">
      <c r="E864" s="374"/>
      <c r="F864" s="374"/>
      <c r="G864" s="374"/>
      <c r="H864" s="374"/>
    </row>
    <row r="865" spans="5:8">
      <c r="E865" s="374"/>
      <c r="F865" s="374"/>
      <c r="G865" s="374"/>
      <c r="H865" s="374"/>
    </row>
    <row r="866" spans="5:8">
      <c r="E866" s="374"/>
      <c r="F866" s="374"/>
      <c r="G866" s="374"/>
      <c r="H866" s="374"/>
    </row>
    <row r="867" spans="5:8">
      <c r="E867" s="374"/>
      <c r="F867" s="374"/>
      <c r="G867" s="374"/>
      <c r="H867" s="374"/>
    </row>
    <row r="868" spans="5:8">
      <c r="E868" s="374"/>
      <c r="F868" s="374"/>
      <c r="G868" s="374"/>
      <c r="H868" s="374"/>
    </row>
    <row r="869" spans="5:8">
      <c r="E869" s="374"/>
      <c r="F869" s="374"/>
      <c r="G869" s="374"/>
      <c r="H869" s="374"/>
    </row>
    <row r="870" spans="5:8">
      <c r="E870" s="374"/>
      <c r="F870" s="374"/>
      <c r="G870" s="374"/>
      <c r="H870" s="374"/>
    </row>
    <row r="871" spans="5:8">
      <c r="E871" s="374"/>
      <c r="F871" s="374"/>
      <c r="G871" s="374"/>
      <c r="H871" s="374"/>
    </row>
    <row r="872" spans="5:8">
      <c r="E872" s="374"/>
      <c r="F872" s="374"/>
      <c r="G872" s="374"/>
      <c r="H872" s="374"/>
    </row>
    <row r="873" spans="5:8">
      <c r="E873" s="374"/>
      <c r="F873" s="374"/>
      <c r="G873" s="374"/>
      <c r="H873" s="374"/>
    </row>
    <row r="874" spans="5:8">
      <c r="E874" s="374"/>
      <c r="F874" s="374"/>
      <c r="G874" s="374"/>
      <c r="H874" s="374"/>
    </row>
    <row r="875" spans="5:8">
      <c r="E875" s="374"/>
      <c r="F875" s="374"/>
      <c r="G875" s="374"/>
      <c r="H875" s="374"/>
    </row>
    <row r="876" spans="5:8">
      <c r="E876" s="374"/>
      <c r="F876" s="374"/>
      <c r="G876" s="374"/>
      <c r="H876" s="374"/>
    </row>
    <row r="877" spans="5:8">
      <c r="E877" s="374"/>
      <c r="F877" s="374"/>
      <c r="G877" s="374"/>
      <c r="H877" s="374"/>
    </row>
    <row r="878" spans="5:8">
      <c r="E878" s="374"/>
      <c r="F878" s="374"/>
      <c r="G878" s="374"/>
      <c r="H878" s="374"/>
    </row>
    <row r="879" spans="5:8">
      <c r="E879" s="374"/>
      <c r="F879" s="374"/>
      <c r="G879" s="374"/>
      <c r="H879" s="374"/>
    </row>
    <row r="880" spans="5:8">
      <c r="E880" s="374"/>
      <c r="F880" s="374"/>
      <c r="G880" s="374"/>
      <c r="H880" s="374"/>
    </row>
    <row r="881" spans="5:8">
      <c r="E881" s="374"/>
      <c r="F881" s="374"/>
      <c r="G881" s="374"/>
      <c r="H881" s="374"/>
    </row>
    <row r="882" spans="5:8">
      <c r="E882" s="374"/>
      <c r="F882" s="374"/>
      <c r="G882" s="374"/>
      <c r="H882" s="374"/>
    </row>
    <row r="883" spans="5:8">
      <c r="E883" s="374"/>
      <c r="F883" s="374"/>
      <c r="G883" s="374"/>
      <c r="H883" s="374"/>
    </row>
    <row r="884" spans="5:8">
      <c r="E884" s="374"/>
      <c r="F884" s="374"/>
      <c r="G884" s="374"/>
      <c r="H884" s="374"/>
    </row>
    <row r="885" spans="5:8">
      <c r="E885" s="374"/>
      <c r="F885" s="374"/>
      <c r="G885" s="374"/>
      <c r="H885" s="374"/>
    </row>
    <row r="886" spans="5:8">
      <c r="E886" s="374"/>
      <c r="F886" s="374"/>
      <c r="G886" s="374"/>
      <c r="H886" s="374"/>
    </row>
    <row r="887" spans="5:8">
      <c r="E887" s="374"/>
      <c r="F887" s="374"/>
      <c r="G887" s="374"/>
      <c r="H887" s="374"/>
    </row>
    <row r="888" spans="5:8">
      <c r="E888" s="374"/>
      <c r="F888" s="374"/>
      <c r="G888" s="374"/>
      <c r="H888" s="374"/>
    </row>
    <row r="889" spans="5:8">
      <c r="E889" s="374"/>
      <c r="F889" s="374"/>
      <c r="G889" s="374"/>
      <c r="H889" s="374"/>
    </row>
    <row r="890" spans="5:8">
      <c r="E890" s="374"/>
      <c r="F890" s="374"/>
      <c r="G890" s="374"/>
      <c r="H890" s="374"/>
    </row>
    <row r="891" spans="5:8">
      <c r="E891" s="374"/>
      <c r="F891" s="374"/>
      <c r="G891" s="374"/>
      <c r="H891" s="374"/>
    </row>
    <row r="892" spans="5:8">
      <c r="E892" s="374"/>
      <c r="F892" s="374"/>
      <c r="G892" s="374"/>
      <c r="H892" s="374"/>
    </row>
    <row r="893" spans="5:8">
      <c r="E893" s="374"/>
      <c r="F893" s="374"/>
      <c r="G893" s="374"/>
      <c r="H893" s="374"/>
    </row>
    <row r="894" spans="5:8">
      <c r="E894" s="374"/>
      <c r="F894" s="374"/>
      <c r="G894" s="374"/>
      <c r="H894" s="374"/>
    </row>
    <row r="895" spans="5:8">
      <c r="E895" s="374"/>
      <c r="F895" s="374"/>
      <c r="G895" s="374"/>
      <c r="H895" s="374"/>
    </row>
    <row r="896" spans="5:8">
      <c r="E896" s="374"/>
      <c r="F896" s="374"/>
      <c r="G896" s="374"/>
      <c r="H896" s="374"/>
    </row>
    <row r="897" spans="5:8">
      <c r="E897" s="374"/>
      <c r="F897" s="374"/>
      <c r="G897" s="374"/>
      <c r="H897" s="374"/>
    </row>
    <row r="898" spans="5:8">
      <c r="E898" s="374"/>
      <c r="F898" s="374"/>
      <c r="G898" s="374"/>
      <c r="H898" s="374"/>
    </row>
    <row r="899" spans="5:8">
      <c r="E899" s="374"/>
      <c r="F899" s="374"/>
      <c r="G899" s="374"/>
      <c r="H899" s="374"/>
    </row>
    <row r="900" spans="5:8">
      <c r="E900" s="374"/>
      <c r="F900" s="374"/>
      <c r="G900" s="374"/>
      <c r="H900" s="374"/>
    </row>
    <row r="901" spans="5:8">
      <c r="E901" s="374"/>
      <c r="F901" s="374"/>
      <c r="G901" s="374"/>
      <c r="H901" s="374"/>
    </row>
    <row r="902" spans="5:8">
      <c r="E902" s="374"/>
      <c r="F902" s="374"/>
      <c r="G902" s="374"/>
      <c r="H902" s="374"/>
    </row>
    <row r="903" spans="5:8">
      <c r="E903" s="374"/>
      <c r="F903" s="374"/>
      <c r="G903" s="374"/>
      <c r="H903" s="374"/>
    </row>
    <row r="904" spans="5:8">
      <c r="E904" s="374"/>
      <c r="F904" s="374"/>
      <c r="G904" s="374"/>
      <c r="H904" s="374"/>
    </row>
    <row r="905" spans="5:8">
      <c r="E905" s="374"/>
      <c r="F905" s="374"/>
      <c r="G905" s="374"/>
      <c r="H905" s="374"/>
    </row>
    <row r="906" spans="5:8">
      <c r="E906" s="374"/>
      <c r="F906" s="374"/>
      <c r="G906" s="374"/>
      <c r="H906" s="374"/>
    </row>
    <row r="907" spans="5:8">
      <c r="E907" s="374"/>
      <c r="F907" s="374"/>
      <c r="G907" s="374"/>
      <c r="H907" s="374"/>
    </row>
    <row r="908" spans="5:8">
      <c r="E908" s="374"/>
      <c r="F908" s="374"/>
      <c r="G908" s="374"/>
      <c r="H908" s="374"/>
    </row>
    <row r="909" spans="5:8">
      <c r="E909" s="374"/>
      <c r="F909" s="374"/>
      <c r="G909" s="374"/>
      <c r="H909" s="374"/>
    </row>
    <row r="910" spans="5:8">
      <c r="E910" s="374"/>
      <c r="F910" s="374"/>
      <c r="G910" s="374"/>
      <c r="H910" s="374"/>
    </row>
    <row r="911" spans="5:8">
      <c r="E911" s="374"/>
      <c r="F911" s="374"/>
      <c r="G911" s="374"/>
      <c r="H911" s="374"/>
    </row>
    <row r="912" spans="5:8">
      <c r="E912" s="374"/>
      <c r="F912" s="374"/>
      <c r="G912" s="374"/>
      <c r="H912" s="374"/>
    </row>
    <row r="913" spans="5:8">
      <c r="E913" s="374"/>
      <c r="F913" s="374"/>
      <c r="G913" s="374"/>
      <c r="H913" s="374"/>
    </row>
    <row r="914" spans="5:8">
      <c r="E914" s="374"/>
      <c r="F914" s="374"/>
      <c r="G914" s="374"/>
      <c r="H914" s="374"/>
    </row>
    <row r="915" spans="5:8">
      <c r="E915" s="374"/>
      <c r="F915" s="374"/>
      <c r="G915" s="374"/>
      <c r="H915" s="374"/>
    </row>
    <row r="916" spans="5:8">
      <c r="E916" s="374"/>
      <c r="F916" s="374"/>
      <c r="G916" s="374"/>
      <c r="H916" s="374"/>
    </row>
    <row r="917" spans="5:8">
      <c r="E917" s="374"/>
      <c r="F917" s="374"/>
      <c r="G917" s="374"/>
      <c r="H917" s="374"/>
    </row>
    <row r="918" spans="5:8">
      <c r="E918" s="374"/>
      <c r="F918" s="374"/>
      <c r="G918" s="374"/>
      <c r="H918" s="374"/>
    </row>
    <row r="919" spans="5:8">
      <c r="E919" s="374"/>
      <c r="F919" s="374"/>
      <c r="G919" s="374"/>
      <c r="H919" s="374"/>
    </row>
    <row r="920" spans="5:8">
      <c r="E920" s="374"/>
      <c r="F920" s="374"/>
      <c r="G920" s="374"/>
      <c r="H920" s="374"/>
    </row>
    <row r="921" spans="5:8">
      <c r="E921" s="374"/>
      <c r="F921" s="374"/>
      <c r="G921" s="374"/>
      <c r="H921" s="374"/>
    </row>
    <row r="922" spans="5:8">
      <c r="E922" s="374"/>
      <c r="F922" s="374"/>
      <c r="G922" s="374"/>
      <c r="H922" s="374"/>
    </row>
    <row r="923" spans="5:8">
      <c r="E923" s="374"/>
      <c r="F923" s="374"/>
      <c r="G923" s="374"/>
      <c r="H923" s="374"/>
    </row>
    <row r="924" spans="5:8">
      <c r="E924" s="374"/>
      <c r="F924" s="374"/>
      <c r="G924" s="374"/>
      <c r="H924" s="374"/>
    </row>
    <row r="925" spans="5:8">
      <c r="E925" s="374"/>
      <c r="F925" s="374"/>
      <c r="G925" s="374"/>
      <c r="H925" s="374"/>
    </row>
    <row r="926" spans="5:8">
      <c r="E926" s="374"/>
      <c r="F926" s="374"/>
      <c r="G926" s="374"/>
      <c r="H926" s="374"/>
    </row>
    <row r="927" spans="5:8">
      <c r="E927" s="374"/>
      <c r="F927" s="374"/>
      <c r="G927" s="374"/>
      <c r="H927" s="374"/>
    </row>
    <row r="928" spans="5:8">
      <c r="E928" s="374"/>
      <c r="F928" s="374"/>
      <c r="G928" s="374"/>
      <c r="H928" s="374"/>
    </row>
    <row r="929" spans="5:8">
      <c r="E929" s="374"/>
      <c r="F929" s="374"/>
      <c r="G929" s="374"/>
      <c r="H929" s="374"/>
    </row>
    <row r="930" spans="5:8">
      <c r="E930" s="374"/>
      <c r="F930" s="374"/>
      <c r="G930" s="374"/>
      <c r="H930" s="374"/>
    </row>
    <row r="931" spans="5:8">
      <c r="E931" s="374"/>
      <c r="F931" s="374"/>
      <c r="G931" s="374"/>
      <c r="H931" s="374"/>
    </row>
    <row r="932" spans="5:8">
      <c r="E932" s="374"/>
      <c r="F932" s="374"/>
      <c r="G932" s="374"/>
      <c r="H932" s="374"/>
    </row>
    <row r="933" spans="5:8">
      <c r="E933" s="374"/>
      <c r="F933" s="374"/>
      <c r="G933" s="374"/>
      <c r="H933" s="374"/>
    </row>
    <row r="934" spans="5:8">
      <c r="E934" s="374"/>
      <c r="F934" s="374"/>
      <c r="G934" s="374"/>
      <c r="H934" s="374"/>
    </row>
    <row r="935" spans="5:8">
      <c r="E935" s="374"/>
      <c r="F935" s="374"/>
      <c r="G935" s="374"/>
      <c r="H935" s="374"/>
    </row>
    <row r="936" spans="5:8">
      <c r="E936" s="374"/>
      <c r="F936" s="374"/>
      <c r="G936" s="374"/>
      <c r="H936" s="374"/>
    </row>
    <row r="937" spans="5:8">
      <c r="E937" s="374"/>
      <c r="F937" s="374"/>
      <c r="G937" s="374"/>
      <c r="H937" s="374"/>
    </row>
    <row r="938" spans="5:8">
      <c r="E938" s="374"/>
      <c r="F938" s="374"/>
      <c r="G938" s="374"/>
      <c r="H938" s="374"/>
    </row>
    <row r="939" spans="5:8">
      <c r="E939" s="374"/>
      <c r="F939" s="374"/>
      <c r="G939" s="374"/>
      <c r="H939" s="374"/>
    </row>
    <row r="940" spans="5:8">
      <c r="E940" s="374"/>
      <c r="F940" s="374"/>
      <c r="G940" s="374"/>
      <c r="H940" s="374"/>
    </row>
    <row r="941" spans="5:8">
      <c r="E941" s="374"/>
      <c r="F941" s="374"/>
      <c r="G941" s="374"/>
      <c r="H941" s="374"/>
    </row>
    <row r="942" spans="5:8">
      <c r="E942" s="374"/>
      <c r="F942" s="374"/>
      <c r="G942" s="374"/>
      <c r="H942" s="374"/>
    </row>
    <row r="943" spans="5:8">
      <c r="E943" s="374"/>
      <c r="F943" s="374"/>
      <c r="G943" s="374"/>
      <c r="H943" s="374"/>
    </row>
    <row r="944" spans="5:8">
      <c r="E944" s="374"/>
      <c r="F944" s="374"/>
      <c r="G944" s="374"/>
      <c r="H944" s="374"/>
    </row>
    <row r="945" spans="5:8">
      <c r="E945" s="374"/>
      <c r="F945" s="374"/>
      <c r="G945" s="374"/>
      <c r="H945" s="374"/>
    </row>
    <row r="946" spans="5:8">
      <c r="E946" s="374"/>
      <c r="F946" s="374"/>
      <c r="G946" s="374"/>
      <c r="H946" s="374"/>
    </row>
    <row r="947" spans="5:8">
      <c r="E947" s="374"/>
      <c r="F947" s="374"/>
      <c r="G947" s="374"/>
      <c r="H947" s="374"/>
    </row>
    <row r="948" spans="5:8">
      <c r="E948" s="374"/>
      <c r="F948" s="374"/>
      <c r="G948" s="374"/>
      <c r="H948" s="374"/>
    </row>
    <row r="949" spans="5:8">
      <c r="E949" s="374"/>
      <c r="F949" s="374"/>
      <c r="G949" s="374"/>
      <c r="H949" s="374"/>
    </row>
    <row r="950" spans="5:8">
      <c r="E950" s="374"/>
      <c r="F950" s="374"/>
      <c r="G950" s="374"/>
      <c r="H950" s="374"/>
    </row>
    <row r="951" spans="5:8">
      <c r="E951" s="374"/>
      <c r="F951" s="374"/>
      <c r="G951" s="374"/>
      <c r="H951" s="374"/>
    </row>
    <row r="952" spans="5:8">
      <c r="E952" s="374"/>
      <c r="F952" s="374"/>
      <c r="G952" s="374"/>
      <c r="H952" s="374"/>
    </row>
    <row r="953" spans="5:8">
      <c r="E953" s="374"/>
      <c r="F953" s="374"/>
      <c r="G953" s="374"/>
      <c r="H953" s="374"/>
    </row>
    <row r="954" spans="5:8">
      <c r="E954" s="374"/>
      <c r="F954" s="374"/>
      <c r="G954" s="374"/>
      <c r="H954" s="374"/>
    </row>
    <row r="955" spans="5:8">
      <c r="E955" s="374"/>
      <c r="F955" s="374"/>
      <c r="G955" s="374"/>
      <c r="H955" s="374"/>
    </row>
    <row r="956" spans="5:8">
      <c r="E956" s="374"/>
      <c r="F956" s="374"/>
      <c r="G956" s="374"/>
      <c r="H956" s="374"/>
    </row>
    <row r="957" spans="5:8">
      <c r="E957" s="374"/>
      <c r="F957" s="374"/>
      <c r="G957" s="374"/>
      <c r="H957" s="374"/>
    </row>
    <row r="958" spans="5:8">
      <c r="E958" s="374"/>
      <c r="F958" s="374"/>
      <c r="G958" s="374"/>
      <c r="H958" s="374"/>
    </row>
    <row r="959" spans="5:8">
      <c r="E959" s="374"/>
      <c r="F959" s="374"/>
      <c r="G959" s="374"/>
      <c r="H959" s="374"/>
    </row>
    <row r="960" spans="5:8">
      <c r="E960" s="374"/>
      <c r="F960" s="374"/>
      <c r="G960" s="374"/>
      <c r="H960" s="374"/>
    </row>
    <row r="961" spans="5:8">
      <c r="E961" s="374"/>
      <c r="F961" s="374"/>
      <c r="G961" s="374"/>
      <c r="H961" s="374"/>
    </row>
    <row r="962" spans="5:8">
      <c r="E962" s="374"/>
      <c r="F962" s="374"/>
      <c r="G962" s="374"/>
      <c r="H962" s="374"/>
    </row>
    <row r="963" spans="5:8">
      <c r="E963" s="374"/>
      <c r="F963" s="374"/>
      <c r="G963" s="374"/>
      <c r="H963" s="374"/>
    </row>
    <row r="964" spans="5:8">
      <c r="E964" s="374"/>
      <c r="F964" s="374"/>
      <c r="G964" s="374"/>
      <c r="H964" s="374"/>
    </row>
    <row r="965" spans="5:8">
      <c r="E965" s="374"/>
      <c r="F965" s="374"/>
      <c r="G965" s="374"/>
      <c r="H965" s="374"/>
    </row>
    <row r="966" spans="5:8">
      <c r="E966" s="374"/>
      <c r="F966" s="374"/>
      <c r="G966" s="374"/>
      <c r="H966" s="374"/>
    </row>
    <row r="967" spans="5:8">
      <c r="E967" s="374"/>
      <c r="F967" s="374"/>
      <c r="G967" s="374"/>
      <c r="H967" s="374"/>
    </row>
    <row r="968" spans="5:8">
      <c r="E968" s="374"/>
      <c r="F968" s="374"/>
      <c r="G968" s="374"/>
      <c r="H968" s="374"/>
    </row>
    <row r="969" spans="5:8">
      <c r="E969" s="374"/>
      <c r="F969" s="374"/>
      <c r="G969" s="374"/>
      <c r="H969" s="374"/>
    </row>
    <row r="970" spans="5:8">
      <c r="E970" s="374"/>
      <c r="F970" s="374"/>
      <c r="G970" s="374"/>
      <c r="H970" s="374"/>
    </row>
    <row r="971" spans="5:8">
      <c r="E971" s="374"/>
      <c r="F971" s="374"/>
      <c r="G971" s="374"/>
      <c r="H971" s="374"/>
    </row>
    <row r="972" spans="5:8">
      <c r="E972" s="374"/>
      <c r="F972" s="374"/>
      <c r="G972" s="374"/>
      <c r="H972" s="374"/>
    </row>
    <row r="973" spans="5:8">
      <c r="E973" s="374"/>
      <c r="F973" s="374"/>
      <c r="G973" s="374"/>
      <c r="H973" s="374"/>
    </row>
    <row r="974" spans="5:8">
      <c r="E974" s="374"/>
      <c r="F974" s="374"/>
      <c r="G974" s="374"/>
      <c r="H974" s="374"/>
    </row>
    <row r="975" spans="5:8">
      <c r="E975" s="374"/>
      <c r="F975" s="374"/>
      <c r="G975" s="374"/>
      <c r="H975" s="374"/>
    </row>
    <row r="976" spans="5:8">
      <c r="E976" s="374"/>
      <c r="F976" s="374"/>
      <c r="G976" s="374"/>
      <c r="H976" s="374"/>
    </row>
    <row r="977" spans="5:8">
      <c r="E977" s="374"/>
      <c r="F977" s="374"/>
      <c r="G977" s="374"/>
      <c r="H977" s="374"/>
    </row>
    <row r="978" spans="5:8">
      <c r="E978" s="374"/>
      <c r="F978" s="374"/>
      <c r="G978" s="374"/>
      <c r="H978" s="374"/>
    </row>
    <row r="979" spans="5:8">
      <c r="E979" s="374"/>
      <c r="F979" s="374"/>
      <c r="G979" s="374"/>
      <c r="H979" s="374"/>
    </row>
    <row r="980" spans="5:8">
      <c r="E980" s="374"/>
      <c r="F980" s="374"/>
      <c r="G980" s="374"/>
      <c r="H980" s="374"/>
    </row>
    <row r="981" spans="5:8">
      <c r="E981" s="374"/>
      <c r="F981" s="374"/>
      <c r="G981" s="374"/>
      <c r="H981" s="374"/>
    </row>
    <row r="982" spans="5:8">
      <c r="E982" s="374"/>
      <c r="F982" s="374"/>
      <c r="G982" s="374"/>
      <c r="H982" s="374"/>
    </row>
    <row r="983" spans="5:8">
      <c r="E983" s="374"/>
      <c r="F983" s="374"/>
      <c r="G983" s="374"/>
      <c r="H983" s="374"/>
    </row>
    <row r="984" spans="5:8">
      <c r="E984" s="374"/>
      <c r="F984" s="374"/>
      <c r="G984" s="374"/>
      <c r="H984" s="374"/>
    </row>
    <row r="985" spans="5:8">
      <c r="E985" s="374"/>
      <c r="F985" s="374"/>
      <c r="G985" s="374"/>
      <c r="H985" s="374"/>
    </row>
    <row r="986" spans="5:8">
      <c r="E986" s="374"/>
      <c r="F986" s="374"/>
      <c r="G986" s="374"/>
      <c r="H986" s="374"/>
    </row>
    <row r="987" spans="5:8">
      <c r="E987" s="374"/>
      <c r="F987" s="374"/>
      <c r="G987" s="374"/>
      <c r="H987" s="374"/>
    </row>
    <row r="988" spans="5:8">
      <c r="E988" s="374"/>
      <c r="F988" s="374"/>
      <c r="G988" s="374"/>
      <c r="H988" s="374"/>
    </row>
    <row r="989" spans="5:8">
      <c r="E989" s="374"/>
      <c r="F989" s="374"/>
      <c r="G989" s="374"/>
      <c r="H989" s="374"/>
    </row>
    <row r="990" spans="5:8">
      <c r="E990" s="374"/>
      <c r="F990" s="374"/>
      <c r="G990" s="374"/>
      <c r="H990" s="374"/>
    </row>
    <row r="991" spans="5:8">
      <c r="E991" s="374"/>
      <c r="F991" s="374"/>
      <c r="G991" s="374"/>
      <c r="H991" s="374"/>
    </row>
    <row r="992" spans="5:8">
      <c r="E992" s="374"/>
      <c r="F992" s="374"/>
      <c r="G992" s="374"/>
      <c r="H992" s="374"/>
    </row>
    <row r="993" spans="5:8">
      <c r="E993" s="374"/>
      <c r="F993" s="374"/>
      <c r="G993" s="374"/>
      <c r="H993" s="374"/>
    </row>
    <row r="994" spans="5:8">
      <c r="E994" s="374"/>
      <c r="F994" s="374"/>
      <c r="G994" s="374"/>
      <c r="H994" s="374"/>
    </row>
    <row r="995" spans="5:8">
      <c r="E995" s="374"/>
      <c r="F995" s="374"/>
      <c r="G995" s="374"/>
      <c r="H995" s="374"/>
    </row>
    <row r="996" spans="5:8">
      <c r="E996" s="374"/>
      <c r="F996" s="374"/>
      <c r="G996" s="374"/>
      <c r="H996" s="374"/>
    </row>
    <row r="997" spans="5:8">
      <c r="E997" s="374"/>
      <c r="F997" s="374"/>
      <c r="G997" s="374"/>
      <c r="H997" s="374"/>
    </row>
    <row r="998" spans="5:8">
      <c r="E998" s="374"/>
      <c r="F998" s="374"/>
      <c r="G998" s="374"/>
      <c r="H998" s="374"/>
    </row>
    <row r="999" spans="5:8">
      <c r="E999" s="374"/>
      <c r="F999" s="374"/>
      <c r="G999" s="374"/>
      <c r="H999" s="374"/>
    </row>
    <row r="1000" spans="5:8">
      <c r="E1000" s="374"/>
      <c r="F1000" s="374"/>
      <c r="G1000" s="374"/>
      <c r="H1000" s="374"/>
    </row>
    <row r="1001" spans="5:8">
      <c r="E1001" s="374"/>
      <c r="F1001" s="374"/>
      <c r="G1001" s="374"/>
      <c r="H1001" s="374"/>
    </row>
    <row r="1002" spans="5:8">
      <c r="E1002" s="374"/>
      <c r="F1002" s="374"/>
      <c r="G1002" s="374"/>
      <c r="H1002" s="374"/>
    </row>
    <row r="1003" spans="5:8">
      <c r="E1003" s="374"/>
      <c r="F1003" s="374"/>
      <c r="G1003" s="374"/>
      <c r="H1003" s="374"/>
    </row>
    <row r="1004" spans="5:8">
      <c r="E1004" s="374"/>
      <c r="F1004" s="374"/>
      <c r="G1004" s="374"/>
      <c r="H1004" s="374"/>
    </row>
    <row r="1005" spans="5:8">
      <c r="E1005" s="374"/>
      <c r="F1005" s="374"/>
      <c r="G1005" s="374"/>
      <c r="H1005" s="374"/>
    </row>
    <row r="1006" spans="5:8">
      <c r="E1006" s="374"/>
      <c r="F1006" s="374"/>
      <c r="G1006" s="374"/>
      <c r="H1006" s="374"/>
    </row>
    <row r="1007" spans="5:8">
      <c r="E1007" s="374"/>
      <c r="F1007" s="374"/>
      <c r="G1007" s="374"/>
      <c r="H1007" s="374"/>
    </row>
    <row r="1008" spans="5:8">
      <c r="E1008" s="374"/>
      <c r="F1008" s="374"/>
      <c r="G1008" s="374"/>
      <c r="H1008" s="374"/>
    </row>
    <row r="1009" spans="5:8">
      <c r="E1009" s="374"/>
      <c r="F1009" s="374"/>
      <c r="G1009" s="374"/>
      <c r="H1009" s="374"/>
    </row>
    <row r="1010" spans="5:8">
      <c r="E1010" s="374"/>
      <c r="F1010" s="374"/>
      <c r="G1010" s="374"/>
      <c r="H1010" s="374"/>
    </row>
    <row r="1011" spans="5:8">
      <c r="E1011" s="374"/>
      <c r="F1011" s="374"/>
      <c r="G1011" s="374"/>
      <c r="H1011" s="374"/>
    </row>
    <row r="1012" spans="5:8">
      <c r="E1012" s="374"/>
      <c r="F1012" s="374"/>
      <c r="G1012" s="374"/>
      <c r="H1012" s="374"/>
    </row>
    <row r="1013" spans="5:8">
      <c r="E1013" s="374"/>
      <c r="F1013" s="374"/>
      <c r="G1013" s="374"/>
      <c r="H1013" s="374"/>
    </row>
    <row r="1014" spans="5:8">
      <c r="E1014" s="374"/>
      <c r="F1014" s="374"/>
      <c r="G1014" s="374"/>
      <c r="H1014" s="374"/>
    </row>
    <row r="1015" spans="5:8">
      <c r="E1015" s="374"/>
      <c r="F1015" s="374"/>
      <c r="G1015" s="374"/>
      <c r="H1015" s="374"/>
    </row>
    <row r="1016" spans="5:8">
      <c r="E1016" s="374"/>
      <c r="F1016" s="374"/>
      <c r="G1016" s="374"/>
      <c r="H1016" s="374"/>
    </row>
    <row r="1017" spans="5:8">
      <c r="E1017" s="374"/>
      <c r="F1017" s="374"/>
      <c r="G1017" s="374"/>
      <c r="H1017" s="374"/>
    </row>
    <row r="1018" spans="5:8">
      <c r="E1018" s="374"/>
      <c r="F1018" s="374"/>
      <c r="G1018" s="374"/>
      <c r="H1018" s="374"/>
    </row>
    <row r="1019" spans="5:8">
      <c r="E1019" s="374"/>
      <c r="F1019" s="374"/>
      <c r="G1019" s="374"/>
      <c r="H1019" s="374"/>
    </row>
    <row r="1020" spans="5:8">
      <c r="E1020" s="374"/>
      <c r="F1020" s="374"/>
      <c r="G1020" s="374"/>
      <c r="H1020" s="374"/>
    </row>
    <row r="1021" spans="5:8">
      <c r="E1021" s="374"/>
      <c r="F1021" s="374"/>
      <c r="G1021" s="374"/>
      <c r="H1021" s="374"/>
    </row>
    <row r="1022" spans="5:8">
      <c r="E1022" s="374"/>
      <c r="F1022" s="374"/>
      <c r="G1022" s="374"/>
      <c r="H1022" s="374"/>
    </row>
    <row r="1023" spans="5:8">
      <c r="E1023" s="374"/>
      <c r="F1023" s="374"/>
      <c r="G1023" s="374"/>
      <c r="H1023" s="374"/>
    </row>
    <row r="1024" spans="5:8">
      <c r="E1024" s="374"/>
      <c r="F1024" s="374"/>
      <c r="G1024" s="374"/>
      <c r="H1024" s="374"/>
    </row>
    <row r="1025" spans="5:8">
      <c r="E1025" s="374"/>
      <c r="F1025" s="374"/>
      <c r="G1025" s="374"/>
      <c r="H1025" s="374"/>
    </row>
    <row r="1026" spans="5:8">
      <c r="E1026" s="374"/>
      <c r="F1026" s="374"/>
      <c r="G1026" s="374"/>
      <c r="H1026" s="374"/>
    </row>
    <row r="1027" spans="5:8">
      <c r="E1027" s="374"/>
      <c r="F1027" s="374"/>
      <c r="G1027" s="374"/>
      <c r="H1027" s="374"/>
    </row>
    <row r="1028" spans="5:8">
      <c r="E1028" s="374"/>
      <c r="F1028" s="374"/>
      <c r="G1028" s="374"/>
      <c r="H1028" s="374"/>
    </row>
    <row r="1029" spans="5:8">
      <c r="E1029" s="374"/>
      <c r="F1029" s="374"/>
      <c r="G1029" s="374"/>
      <c r="H1029" s="374"/>
    </row>
    <row r="1030" spans="5:8">
      <c r="E1030" s="374"/>
      <c r="F1030" s="374"/>
      <c r="G1030" s="374"/>
      <c r="H1030" s="374"/>
    </row>
    <row r="1031" spans="5:8">
      <c r="E1031" s="374"/>
      <c r="F1031" s="374"/>
      <c r="G1031" s="374"/>
      <c r="H1031" s="374"/>
    </row>
    <row r="1032" spans="5:8">
      <c r="E1032" s="374"/>
      <c r="F1032" s="374"/>
      <c r="G1032" s="374"/>
      <c r="H1032" s="374"/>
    </row>
    <row r="1033" spans="5:8">
      <c r="E1033" s="374"/>
      <c r="F1033" s="374"/>
      <c r="G1033" s="374"/>
      <c r="H1033" s="374"/>
    </row>
    <row r="1034" spans="5:8">
      <c r="E1034" s="374"/>
      <c r="F1034" s="374"/>
      <c r="G1034" s="374"/>
      <c r="H1034" s="374"/>
    </row>
    <row r="1035" spans="5:8">
      <c r="E1035" s="374"/>
      <c r="F1035" s="374"/>
      <c r="G1035" s="374"/>
      <c r="H1035" s="374"/>
    </row>
    <row r="1036" spans="5:8">
      <c r="E1036" s="374"/>
      <c r="F1036" s="374"/>
      <c r="G1036" s="374"/>
      <c r="H1036" s="374"/>
    </row>
    <row r="1037" spans="5:8">
      <c r="E1037" s="374"/>
      <c r="F1037" s="374"/>
      <c r="G1037" s="374"/>
      <c r="H1037" s="374"/>
    </row>
    <row r="1038" spans="5:8">
      <c r="E1038" s="374"/>
      <c r="F1038" s="374"/>
      <c r="G1038" s="374"/>
      <c r="H1038" s="374"/>
    </row>
    <row r="1039" spans="5:8">
      <c r="E1039" s="374"/>
      <c r="F1039" s="374"/>
      <c r="G1039" s="374"/>
      <c r="H1039" s="374"/>
    </row>
    <row r="1040" spans="5:8">
      <c r="E1040" s="374"/>
      <c r="F1040" s="374"/>
      <c r="G1040" s="374"/>
      <c r="H1040" s="374"/>
    </row>
    <row r="1041" spans="5:8">
      <c r="E1041" s="374"/>
      <c r="F1041" s="374"/>
      <c r="G1041" s="374"/>
      <c r="H1041" s="374"/>
    </row>
    <row r="1042" spans="5:8">
      <c r="E1042" s="374"/>
      <c r="F1042" s="374"/>
      <c r="G1042" s="374"/>
      <c r="H1042" s="374"/>
    </row>
    <row r="1043" spans="5:8">
      <c r="E1043" s="374"/>
      <c r="F1043" s="374"/>
      <c r="G1043" s="374"/>
      <c r="H1043" s="374"/>
    </row>
    <row r="1044" spans="5:8">
      <c r="E1044" s="374"/>
      <c r="F1044" s="374"/>
      <c r="G1044" s="374"/>
      <c r="H1044" s="374"/>
    </row>
    <row r="1045" spans="5:8">
      <c r="E1045" s="374"/>
      <c r="F1045" s="374"/>
      <c r="G1045" s="374"/>
      <c r="H1045" s="374"/>
    </row>
    <row r="1046" spans="5:8">
      <c r="E1046" s="374"/>
      <c r="F1046" s="374"/>
      <c r="G1046" s="374"/>
      <c r="H1046" s="374"/>
    </row>
    <row r="1047" spans="5:8">
      <c r="E1047" s="374"/>
      <c r="F1047" s="374"/>
      <c r="G1047" s="374"/>
      <c r="H1047" s="374"/>
    </row>
    <row r="1048" spans="5:8">
      <c r="E1048" s="374"/>
      <c r="F1048" s="374"/>
      <c r="G1048" s="374"/>
      <c r="H1048" s="374"/>
    </row>
    <row r="1049" spans="5:8">
      <c r="E1049" s="374"/>
      <c r="F1049" s="374"/>
      <c r="G1049" s="374"/>
      <c r="H1049" s="374"/>
    </row>
    <row r="1050" spans="5:8">
      <c r="E1050" s="374"/>
      <c r="F1050" s="374"/>
      <c r="G1050" s="374"/>
      <c r="H1050" s="374"/>
    </row>
    <row r="1051" spans="5:8">
      <c r="E1051" s="374"/>
      <c r="F1051" s="374"/>
      <c r="G1051" s="374"/>
      <c r="H1051" s="374"/>
    </row>
    <row r="1052" spans="5:8">
      <c r="E1052" s="374"/>
      <c r="F1052" s="374"/>
      <c r="G1052" s="374"/>
      <c r="H1052" s="374"/>
    </row>
    <row r="1053" spans="5:8">
      <c r="E1053" s="374"/>
      <c r="F1053" s="374"/>
      <c r="G1053" s="374"/>
      <c r="H1053" s="374"/>
    </row>
    <row r="1054" spans="5:8">
      <c r="E1054" s="374"/>
      <c r="F1054" s="374"/>
      <c r="G1054" s="374"/>
      <c r="H1054" s="374"/>
    </row>
    <row r="1055" spans="5:8">
      <c r="E1055" s="374"/>
      <c r="F1055" s="374"/>
      <c r="G1055" s="374"/>
      <c r="H1055" s="374"/>
    </row>
    <row r="1056" spans="5:8">
      <c r="E1056" s="374"/>
      <c r="F1056" s="374"/>
      <c r="G1056" s="374"/>
      <c r="H1056" s="374"/>
    </row>
    <row r="1057" spans="5:8">
      <c r="E1057" s="374"/>
      <c r="F1057" s="374"/>
      <c r="G1057" s="374"/>
      <c r="H1057" s="374"/>
    </row>
    <row r="1058" spans="5:8">
      <c r="E1058" s="374"/>
      <c r="F1058" s="374"/>
      <c r="G1058" s="374"/>
      <c r="H1058" s="374"/>
    </row>
    <row r="1059" spans="5:8">
      <c r="E1059" s="374"/>
      <c r="F1059" s="374"/>
      <c r="G1059" s="374"/>
      <c r="H1059" s="374"/>
    </row>
    <row r="1060" spans="5:8">
      <c r="E1060" s="374"/>
      <c r="F1060" s="374"/>
      <c r="G1060" s="374"/>
      <c r="H1060" s="374"/>
    </row>
    <row r="1061" spans="5:8">
      <c r="E1061" s="374"/>
      <c r="F1061" s="374"/>
      <c r="G1061" s="374"/>
      <c r="H1061" s="374"/>
    </row>
    <row r="1062" spans="5:8">
      <c r="E1062" s="374"/>
      <c r="F1062" s="374"/>
      <c r="G1062" s="374"/>
      <c r="H1062" s="374"/>
    </row>
    <row r="1063" spans="5:8">
      <c r="E1063" s="374"/>
      <c r="F1063" s="374"/>
      <c r="G1063" s="374"/>
      <c r="H1063" s="374"/>
    </row>
    <row r="1064" spans="5:8">
      <c r="E1064" s="374"/>
      <c r="F1064" s="374"/>
      <c r="G1064" s="374"/>
      <c r="H1064" s="374"/>
    </row>
    <row r="1065" spans="5:8">
      <c r="E1065" s="374"/>
      <c r="F1065" s="374"/>
      <c r="G1065" s="374"/>
      <c r="H1065" s="374"/>
    </row>
    <row r="1066" spans="5:8">
      <c r="E1066" s="374"/>
      <c r="F1066" s="374"/>
      <c r="G1066" s="374"/>
      <c r="H1066" s="374"/>
    </row>
    <row r="1067" spans="5:8">
      <c r="E1067" s="374"/>
      <c r="F1067" s="374"/>
      <c r="G1067" s="374"/>
      <c r="H1067" s="374"/>
    </row>
    <row r="1068" spans="5:8">
      <c r="E1068" s="374"/>
      <c r="F1068" s="374"/>
      <c r="G1068" s="374"/>
      <c r="H1068" s="374"/>
    </row>
    <row r="1069" spans="5:8">
      <c r="E1069" s="374"/>
      <c r="F1069" s="374"/>
      <c r="G1069" s="374"/>
      <c r="H1069" s="374"/>
    </row>
    <row r="1070" spans="5:8">
      <c r="E1070" s="374"/>
      <c r="F1070" s="374"/>
      <c r="G1070" s="374"/>
      <c r="H1070" s="374"/>
    </row>
    <row r="1071" spans="5:8">
      <c r="E1071" s="374"/>
      <c r="F1071" s="374"/>
      <c r="G1071" s="374"/>
      <c r="H1071" s="374"/>
    </row>
    <row r="1072" spans="5:8">
      <c r="E1072" s="374"/>
      <c r="F1072" s="374"/>
      <c r="G1072" s="374"/>
      <c r="H1072" s="374"/>
    </row>
    <row r="1073" spans="5:8">
      <c r="E1073" s="374"/>
      <c r="F1073" s="374"/>
      <c r="G1073" s="374"/>
      <c r="H1073" s="374"/>
    </row>
    <row r="1074" spans="5:8">
      <c r="E1074" s="374"/>
      <c r="F1074" s="374"/>
      <c r="G1074" s="374"/>
      <c r="H1074" s="374"/>
    </row>
    <row r="1075" spans="5:8">
      <c r="E1075" s="374"/>
      <c r="F1075" s="374"/>
      <c r="G1075" s="374"/>
      <c r="H1075" s="374"/>
    </row>
    <row r="1076" spans="5:8">
      <c r="E1076" s="374"/>
      <c r="F1076" s="374"/>
      <c r="G1076" s="374"/>
      <c r="H1076" s="374"/>
    </row>
    <row r="1077" spans="5:8">
      <c r="E1077" s="374"/>
      <c r="F1077" s="374"/>
      <c r="G1077" s="374"/>
      <c r="H1077" s="374"/>
    </row>
    <row r="1078" spans="5:8">
      <c r="E1078" s="374"/>
      <c r="F1078" s="374"/>
      <c r="G1078" s="374"/>
      <c r="H1078" s="374"/>
    </row>
    <row r="1079" spans="5:8">
      <c r="E1079" s="374"/>
      <c r="F1079" s="374"/>
      <c r="G1079" s="374"/>
      <c r="H1079" s="374"/>
    </row>
    <row r="1080" spans="5:8">
      <c r="E1080" s="374"/>
      <c r="F1080" s="374"/>
      <c r="G1080" s="374"/>
      <c r="H1080" s="374"/>
    </row>
    <row r="1081" spans="5:8">
      <c r="E1081" s="374"/>
      <c r="F1081" s="374"/>
      <c r="G1081" s="374"/>
      <c r="H1081" s="374"/>
    </row>
    <row r="1082" spans="5:8">
      <c r="E1082" s="374"/>
      <c r="F1082" s="374"/>
      <c r="G1082" s="374"/>
      <c r="H1082" s="374"/>
    </row>
    <row r="1083" spans="5:8">
      <c r="E1083" s="374"/>
      <c r="F1083" s="374"/>
      <c r="G1083" s="374"/>
      <c r="H1083" s="374"/>
    </row>
    <row r="1084" spans="5:8">
      <c r="E1084" s="374"/>
      <c r="F1084" s="374"/>
      <c r="G1084" s="374"/>
      <c r="H1084" s="374"/>
    </row>
    <row r="1085" spans="5:8">
      <c r="E1085" s="374"/>
      <c r="F1085" s="374"/>
      <c r="G1085" s="374"/>
      <c r="H1085" s="374"/>
    </row>
    <row r="1086" spans="5:8">
      <c r="E1086" s="374"/>
      <c r="F1086" s="374"/>
      <c r="G1086" s="374"/>
      <c r="H1086" s="374"/>
    </row>
    <row r="1087" spans="5:8">
      <c r="E1087" s="374"/>
      <c r="F1087" s="374"/>
      <c r="G1087" s="374"/>
      <c r="H1087" s="374"/>
    </row>
    <row r="1088" spans="5:8">
      <c r="E1088" s="374"/>
      <c r="F1088" s="374"/>
      <c r="G1088" s="374"/>
      <c r="H1088" s="374"/>
    </row>
    <row r="1089" spans="5:8">
      <c r="E1089" s="374"/>
      <c r="F1089" s="374"/>
      <c r="G1089" s="374"/>
      <c r="H1089" s="374"/>
    </row>
    <row r="1090" spans="5:8">
      <c r="E1090" s="374"/>
      <c r="F1090" s="374"/>
      <c r="G1090" s="374"/>
      <c r="H1090" s="374"/>
    </row>
    <row r="1091" spans="5:8">
      <c r="E1091" s="374"/>
      <c r="F1091" s="374"/>
      <c r="G1091" s="374"/>
      <c r="H1091" s="374"/>
    </row>
    <row r="1092" spans="5:8">
      <c r="E1092" s="374"/>
      <c r="F1092" s="374"/>
      <c r="G1092" s="374"/>
      <c r="H1092" s="374"/>
    </row>
    <row r="1093" spans="5:8">
      <c r="E1093" s="374"/>
      <c r="F1093" s="374"/>
      <c r="G1093" s="374"/>
      <c r="H1093" s="374"/>
    </row>
    <row r="1094" spans="5:8">
      <c r="E1094" s="374"/>
      <c r="F1094" s="374"/>
      <c r="G1094" s="374"/>
      <c r="H1094" s="374"/>
    </row>
    <row r="1095" spans="5:8">
      <c r="E1095" s="374"/>
      <c r="F1095" s="374"/>
      <c r="G1095" s="374"/>
      <c r="H1095" s="374"/>
    </row>
    <row r="1096" spans="5:8">
      <c r="E1096" s="374"/>
      <c r="F1096" s="374"/>
      <c r="G1096" s="374"/>
      <c r="H1096" s="374"/>
    </row>
    <row r="1097" spans="5:8">
      <c r="E1097" s="374"/>
      <c r="F1097" s="374"/>
      <c r="G1097" s="374"/>
      <c r="H1097" s="374"/>
    </row>
    <row r="1098" spans="5:8">
      <c r="E1098" s="374"/>
      <c r="F1098" s="374"/>
      <c r="G1098" s="374"/>
      <c r="H1098" s="374"/>
    </row>
    <row r="1099" spans="5:8">
      <c r="E1099" s="374"/>
      <c r="F1099" s="374"/>
      <c r="G1099" s="374"/>
      <c r="H1099" s="374"/>
    </row>
    <row r="1100" spans="5:8">
      <c r="E1100" s="374"/>
      <c r="F1100" s="374"/>
      <c r="G1100" s="374"/>
      <c r="H1100" s="374"/>
    </row>
    <row r="1101" spans="5:8">
      <c r="E1101" s="374"/>
      <c r="F1101" s="374"/>
      <c r="G1101" s="374"/>
      <c r="H1101" s="374"/>
    </row>
    <row r="1102" spans="5:8">
      <c r="E1102" s="374"/>
      <c r="F1102" s="374"/>
      <c r="G1102" s="374"/>
      <c r="H1102" s="374"/>
    </row>
    <row r="1103" spans="5:8">
      <c r="E1103" s="374"/>
      <c r="F1103" s="374"/>
      <c r="G1103" s="374"/>
      <c r="H1103" s="374"/>
    </row>
    <row r="1104" spans="5:8">
      <c r="E1104" s="374"/>
      <c r="F1104" s="374"/>
      <c r="G1104" s="374"/>
      <c r="H1104" s="374"/>
    </row>
    <row r="1105" spans="5:8">
      <c r="E1105" s="374"/>
      <c r="F1105" s="374"/>
      <c r="G1105" s="374"/>
      <c r="H1105" s="374"/>
    </row>
    <row r="1106" spans="5:8">
      <c r="E1106" s="374"/>
      <c r="F1106" s="374"/>
      <c r="G1106" s="374"/>
      <c r="H1106" s="374"/>
    </row>
    <row r="1107" spans="5:8">
      <c r="E1107" s="374"/>
      <c r="F1107" s="374"/>
      <c r="G1107" s="374"/>
      <c r="H1107" s="374"/>
    </row>
    <row r="1108" spans="5:8">
      <c r="E1108" s="374"/>
      <c r="F1108" s="374"/>
      <c r="G1108" s="374"/>
      <c r="H1108" s="374"/>
    </row>
    <row r="1109" spans="5:8">
      <c r="E1109" s="374"/>
      <c r="F1109" s="374"/>
      <c r="G1109" s="374"/>
      <c r="H1109" s="374"/>
    </row>
    <row r="1110" spans="5:8">
      <c r="E1110" s="374"/>
      <c r="F1110" s="374"/>
      <c r="G1110" s="374"/>
      <c r="H1110" s="374"/>
    </row>
    <row r="1111" spans="5:8">
      <c r="E1111" s="374"/>
      <c r="F1111" s="374"/>
      <c r="G1111" s="374"/>
      <c r="H1111" s="374"/>
    </row>
    <row r="1112" spans="5:8">
      <c r="E1112" s="374"/>
      <c r="F1112" s="374"/>
      <c r="G1112" s="374"/>
      <c r="H1112" s="374"/>
    </row>
    <row r="1113" spans="5:8">
      <c r="E1113" s="374"/>
      <c r="F1113" s="374"/>
      <c r="G1113" s="374"/>
      <c r="H1113" s="374"/>
    </row>
    <row r="1114" spans="5:8">
      <c r="E1114" s="374"/>
      <c r="F1114" s="374"/>
      <c r="G1114" s="374"/>
      <c r="H1114" s="374"/>
    </row>
    <row r="1115" spans="5:8">
      <c r="E1115" s="374"/>
      <c r="F1115" s="374"/>
      <c r="G1115" s="374"/>
      <c r="H1115" s="374"/>
    </row>
    <row r="1116" spans="5:8">
      <c r="E1116" s="374"/>
      <c r="F1116" s="374"/>
      <c r="G1116" s="374"/>
      <c r="H1116" s="374"/>
    </row>
    <row r="1117" spans="5:8">
      <c r="E1117" s="374"/>
      <c r="F1117" s="374"/>
      <c r="G1117" s="374"/>
      <c r="H1117" s="374"/>
    </row>
    <row r="1118" spans="5:8">
      <c r="E1118" s="374"/>
      <c r="F1118" s="374"/>
      <c r="G1118" s="374"/>
      <c r="H1118" s="374"/>
    </row>
    <row r="1119" spans="5:8">
      <c r="E1119" s="374"/>
      <c r="F1119" s="374"/>
      <c r="G1119" s="374"/>
      <c r="H1119" s="374"/>
    </row>
    <row r="1120" spans="5:8">
      <c r="E1120" s="374"/>
      <c r="F1120" s="374"/>
      <c r="G1120" s="374"/>
      <c r="H1120" s="374"/>
    </row>
    <row r="1121" spans="5:8">
      <c r="E1121" s="374"/>
      <c r="F1121" s="374"/>
      <c r="G1121" s="374"/>
      <c r="H1121" s="374"/>
    </row>
    <row r="1122" spans="5:8">
      <c r="E1122" s="374"/>
      <c r="F1122" s="374"/>
      <c r="G1122" s="374"/>
      <c r="H1122" s="374"/>
    </row>
    <row r="1123" spans="5:8">
      <c r="E1123" s="374"/>
      <c r="F1123" s="374"/>
      <c r="G1123" s="374"/>
      <c r="H1123" s="374"/>
    </row>
    <row r="1124" spans="5:8">
      <c r="E1124" s="374"/>
      <c r="F1124" s="374"/>
      <c r="G1124" s="374"/>
      <c r="H1124" s="374"/>
    </row>
    <row r="1125" spans="5:8">
      <c r="E1125" s="374"/>
      <c r="F1125" s="374"/>
      <c r="G1125" s="374"/>
      <c r="H1125" s="374"/>
    </row>
    <row r="1126" spans="5:8">
      <c r="E1126" s="374"/>
      <c r="F1126" s="374"/>
      <c r="G1126" s="374"/>
      <c r="H1126" s="374"/>
    </row>
    <row r="1127" spans="5:8">
      <c r="E1127" s="374"/>
      <c r="F1127" s="374"/>
      <c r="G1127" s="374"/>
      <c r="H1127" s="374"/>
    </row>
    <row r="1128" spans="5:8">
      <c r="E1128" s="374"/>
      <c r="F1128" s="374"/>
      <c r="G1128" s="374"/>
      <c r="H1128" s="374"/>
    </row>
    <row r="1129" spans="5:8">
      <c r="E1129" s="374"/>
      <c r="F1129" s="374"/>
      <c r="G1129" s="374"/>
      <c r="H1129" s="374"/>
    </row>
    <row r="1130" spans="5:8">
      <c r="E1130" s="374"/>
      <c r="F1130" s="374"/>
      <c r="G1130" s="374"/>
      <c r="H1130" s="374"/>
    </row>
    <row r="1131" spans="5:8">
      <c r="E1131" s="374"/>
      <c r="F1131" s="374"/>
      <c r="G1131" s="374"/>
      <c r="H1131" s="374"/>
    </row>
    <row r="1132" spans="5:8">
      <c r="E1132" s="374"/>
      <c r="F1132" s="374"/>
      <c r="G1132" s="374"/>
      <c r="H1132" s="374"/>
    </row>
    <row r="1133" spans="5:8">
      <c r="E1133" s="374"/>
      <c r="F1133" s="374"/>
      <c r="G1133" s="374"/>
      <c r="H1133" s="374"/>
    </row>
    <row r="1134" spans="5:8">
      <c r="E1134" s="374"/>
      <c r="F1134" s="374"/>
      <c r="G1134" s="374"/>
      <c r="H1134" s="374"/>
    </row>
    <row r="1135" spans="5:8">
      <c r="E1135" s="374"/>
      <c r="F1135" s="374"/>
      <c r="G1135" s="374"/>
      <c r="H1135" s="374"/>
    </row>
    <row r="1136" spans="5:8">
      <c r="E1136" s="374"/>
      <c r="F1136" s="374"/>
      <c r="G1136" s="374"/>
      <c r="H1136" s="374"/>
    </row>
    <row r="1137" spans="5:8">
      <c r="E1137" s="374"/>
      <c r="F1137" s="374"/>
      <c r="G1137" s="374"/>
      <c r="H1137" s="374"/>
    </row>
    <row r="1138" spans="5:8">
      <c r="E1138" s="374"/>
      <c r="F1138" s="374"/>
      <c r="G1138" s="374"/>
      <c r="H1138" s="374"/>
    </row>
    <row r="1139" spans="5:8">
      <c r="E1139" s="374"/>
      <c r="F1139" s="374"/>
      <c r="G1139" s="374"/>
      <c r="H1139" s="374"/>
    </row>
    <row r="1140" spans="5:8">
      <c r="E1140" s="374"/>
      <c r="F1140" s="374"/>
      <c r="G1140" s="374"/>
      <c r="H1140" s="374"/>
    </row>
    <row r="1141" spans="5:8">
      <c r="E1141" s="374"/>
      <c r="F1141" s="374"/>
      <c r="G1141" s="374"/>
      <c r="H1141" s="374"/>
    </row>
    <row r="1142" spans="5:8">
      <c r="E1142" s="374"/>
      <c r="F1142" s="374"/>
      <c r="G1142" s="374"/>
      <c r="H1142" s="374"/>
    </row>
    <row r="1143" spans="5:8">
      <c r="E1143" s="374"/>
      <c r="F1143" s="374"/>
      <c r="G1143" s="374"/>
      <c r="H1143" s="374"/>
    </row>
    <row r="1144" spans="5:8">
      <c r="E1144" s="374"/>
      <c r="F1144" s="374"/>
      <c r="G1144" s="374"/>
      <c r="H1144" s="374"/>
    </row>
    <row r="1145" spans="5:8">
      <c r="E1145" s="374"/>
      <c r="F1145" s="374"/>
      <c r="G1145" s="374"/>
      <c r="H1145" s="374"/>
    </row>
    <row r="1146" spans="5:8">
      <c r="E1146" s="374"/>
      <c r="F1146" s="374"/>
      <c r="G1146" s="374"/>
      <c r="H1146" s="374"/>
    </row>
    <row r="1147" spans="5:8">
      <c r="E1147" s="374"/>
      <c r="F1147" s="374"/>
      <c r="G1147" s="374"/>
      <c r="H1147" s="374"/>
    </row>
    <row r="1148" spans="5:8">
      <c r="E1148" s="374"/>
      <c r="F1148" s="374"/>
      <c r="G1148" s="374"/>
      <c r="H1148" s="374"/>
    </row>
    <row r="1149" spans="5:8">
      <c r="E1149" s="374"/>
      <c r="F1149" s="374"/>
      <c r="G1149" s="374"/>
      <c r="H1149" s="374"/>
    </row>
    <row r="1150" spans="5:8">
      <c r="E1150" s="374"/>
      <c r="F1150" s="374"/>
      <c r="G1150" s="374"/>
      <c r="H1150" s="374"/>
    </row>
    <row r="1151" spans="5:8">
      <c r="E1151" s="374"/>
      <c r="F1151" s="374"/>
      <c r="G1151" s="374"/>
      <c r="H1151" s="374"/>
    </row>
    <row r="1152" spans="5:8">
      <c r="E1152" s="374"/>
      <c r="F1152" s="374"/>
      <c r="G1152" s="374"/>
      <c r="H1152" s="374"/>
    </row>
    <row r="1153" spans="5:8">
      <c r="E1153" s="374"/>
      <c r="F1153" s="374"/>
      <c r="G1153" s="374"/>
      <c r="H1153" s="374"/>
    </row>
    <row r="1154" spans="5:8">
      <c r="E1154" s="374"/>
      <c r="F1154" s="374"/>
      <c r="G1154" s="374"/>
      <c r="H1154" s="374"/>
    </row>
    <row r="1155" spans="5:8">
      <c r="E1155" s="374"/>
      <c r="F1155" s="374"/>
      <c r="G1155" s="374"/>
      <c r="H1155" s="374"/>
    </row>
    <row r="1156" spans="5:8">
      <c r="E1156" s="374"/>
      <c r="F1156" s="374"/>
      <c r="G1156" s="374"/>
      <c r="H1156" s="374"/>
    </row>
    <row r="1157" spans="5:8">
      <c r="E1157" s="374"/>
      <c r="F1157" s="374"/>
      <c r="G1157" s="374"/>
      <c r="H1157" s="374"/>
    </row>
    <row r="1158" spans="5:8">
      <c r="E1158" s="374"/>
      <c r="F1158" s="374"/>
      <c r="G1158" s="374"/>
      <c r="H1158" s="374"/>
    </row>
    <row r="1159" spans="5:8">
      <c r="E1159" s="374"/>
      <c r="F1159" s="374"/>
      <c r="G1159" s="374"/>
      <c r="H1159" s="374"/>
    </row>
    <row r="1160" spans="5:8">
      <c r="E1160" s="374"/>
      <c r="F1160" s="374"/>
      <c r="G1160" s="374"/>
      <c r="H1160" s="374"/>
    </row>
  </sheetData>
  <mergeCells count="291">
    <mergeCell ref="A98:A99"/>
    <mergeCell ref="A82:A84"/>
    <mergeCell ref="B82:B84"/>
    <mergeCell ref="C82:C84"/>
    <mergeCell ref="B52:B53"/>
    <mergeCell ref="C52:C53"/>
    <mergeCell ref="B62:B63"/>
    <mergeCell ref="C62:C63"/>
    <mergeCell ref="A66:A67"/>
    <mergeCell ref="A62:A63"/>
    <mergeCell ref="B66:B67"/>
    <mergeCell ref="C66:C67"/>
    <mergeCell ref="B88:B89"/>
    <mergeCell ref="B57:B60"/>
    <mergeCell ref="A57:A60"/>
    <mergeCell ref="C57:C60"/>
    <mergeCell ref="A52:A53"/>
    <mergeCell ref="A92:A93"/>
    <mergeCell ref="B92:B93"/>
    <mergeCell ref="C92:C93"/>
    <mergeCell ref="A88:A89"/>
    <mergeCell ref="N17:N18"/>
    <mergeCell ref="N41:N42"/>
    <mergeCell ref="H59:H60"/>
    <mergeCell ref="G59:G60"/>
    <mergeCell ref="F59:F60"/>
    <mergeCell ref="E59:E60"/>
    <mergeCell ref="D59:D60"/>
    <mergeCell ref="K17:K23"/>
    <mergeCell ref="L17:L23"/>
    <mergeCell ref="K30:K36"/>
    <mergeCell ref="M57:M59"/>
    <mergeCell ref="L48:L49"/>
    <mergeCell ref="K45:K46"/>
    <mergeCell ref="K41:K42"/>
    <mergeCell ref="K52:K53"/>
    <mergeCell ref="M45:M46"/>
    <mergeCell ref="M48:M49"/>
    <mergeCell ref="L57:L60"/>
    <mergeCell ref="K57:K60"/>
    <mergeCell ref="K48:K49"/>
    <mergeCell ref="J45:J46"/>
    <mergeCell ref="M17:M18"/>
    <mergeCell ref="A37:A38"/>
    <mergeCell ref="J41:J42"/>
    <mergeCell ref="J62:J63"/>
    <mergeCell ref="A17:A23"/>
    <mergeCell ref="J37:J38"/>
    <mergeCell ref="B48:B49"/>
    <mergeCell ref="B37:B38"/>
    <mergeCell ref="C37:C38"/>
    <mergeCell ref="C41:C42"/>
    <mergeCell ref="B41:B42"/>
    <mergeCell ref="J17:J23"/>
    <mergeCell ref="C17:C23"/>
    <mergeCell ref="J48:J49"/>
    <mergeCell ref="J52:J53"/>
    <mergeCell ref="J57:J60"/>
    <mergeCell ref="A45:A46"/>
    <mergeCell ref="A41:A42"/>
    <mergeCell ref="B45:B46"/>
    <mergeCell ref="C45:C46"/>
    <mergeCell ref="C48:C49"/>
    <mergeCell ref="B30:B36"/>
    <mergeCell ref="C30:C36"/>
    <mergeCell ref="A48:A49"/>
    <mergeCell ref="J66:J67"/>
    <mergeCell ref="P1:S1"/>
    <mergeCell ref="C14:C15"/>
    <mergeCell ref="D14:D15"/>
    <mergeCell ref="E14:E15"/>
    <mergeCell ref="I14:I15"/>
    <mergeCell ref="L14:L15"/>
    <mergeCell ref="M14:M15"/>
    <mergeCell ref="K14:K15"/>
    <mergeCell ref="P14:R14"/>
    <mergeCell ref="S14:S15"/>
    <mergeCell ref="J14:J15"/>
    <mergeCell ref="A2:S2"/>
    <mergeCell ref="A14:A15"/>
    <mergeCell ref="B14:B15"/>
    <mergeCell ref="A1:K1"/>
    <mergeCell ref="A13:I13"/>
    <mergeCell ref="F14:F15"/>
    <mergeCell ref="G14:G15"/>
    <mergeCell ref="H14:H15"/>
    <mergeCell ref="N14:O14"/>
    <mergeCell ref="B5:S5"/>
    <mergeCell ref="B6:S6"/>
    <mergeCell ref="A10:H10"/>
    <mergeCell ref="A11:S11"/>
    <mergeCell ref="Q30:Q36"/>
    <mergeCell ref="L30:L36"/>
    <mergeCell ref="P17:P23"/>
    <mergeCell ref="B17:B23"/>
    <mergeCell ref="O17:O18"/>
    <mergeCell ref="O41:O42"/>
    <mergeCell ref="S17:S23"/>
    <mergeCell ref="A24:A29"/>
    <mergeCell ref="B24:B29"/>
    <mergeCell ref="C24:C29"/>
    <mergeCell ref="K24:K29"/>
    <mergeCell ref="A30:A36"/>
    <mergeCell ref="R17:R23"/>
    <mergeCell ref="R30:R36"/>
    <mergeCell ref="Q24:Q29"/>
    <mergeCell ref="R24:R29"/>
    <mergeCell ref="P30:P36"/>
    <mergeCell ref="M24:M29"/>
    <mergeCell ref="N24:N29"/>
    <mergeCell ref="O24:O29"/>
    <mergeCell ref="M30:M36"/>
    <mergeCell ref="N30:N36"/>
    <mergeCell ref="O30:O36"/>
    <mergeCell ref="R88:R89"/>
    <mergeCell ref="R103:R104"/>
    <mergeCell ref="N98:N99"/>
    <mergeCell ref="O98:O99"/>
    <mergeCell ref="P66:P67"/>
    <mergeCell ref="R66:R67"/>
    <mergeCell ref="L70:L71"/>
    <mergeCell ref="P37:P38"/>
    <mergeCell ref="P88:P89"/>
    <mergeCell ref="N57:N59"/>
    <mergeCell ref="O57:O59"/>
    <mergeCell ref="N62:N63"/>
    <mergeCell ref="O62:O63"/>
    <mergeCell ref="N88:N89"/>
    <mergeCell ref="O88:O89"/>
    <mergeCell ref="N70:N71"/>
    <mergeCell ref="O70:O71"/>
    <mergeCell ref="N45:N46"/>
    <mergeCell ref="P98:P99"/>
    <mergeCell ref="M70:M71"/>
    <mergeCell ref="P70:P71"/>
    <mergeCell ref="L52:L53"/>
    <mergeCell ref="M66:M67"/>
    <mergeCell ref="L45:L46"/>
    <mergeCell ref="R108:R109"/>
    <mergeCell ref="S108:S109"/>
    <mergeCell ref="B98:B99"/>
    <mergeCell ref="C98:C99"/>
    <mergeCell ref="K103:K104"/>
    <mergeCell ref="P92:P93"/>
    <mergeCell ref="Q92:Q93"/>
    <mergeCell ref="R92:R93"/>
    <mergeCell ref="S92:S93"/>
    <mergeCell ref="R98:R99"/>
    <mergeCell ref="P103:P104"/>
    <mergeCell ref="Q103:Q104"/>
    <mergeCell ref="N92:N93"/>
    <mergeCell ref="O92:O93"/>
    <mergeCell ref="L108:L109"/>
    <mergeCell ref="M108:M109"/>
    <mergeCell ref="K92:K93"/>
    <mergeCell ref="K98:K99"/>
    <mergeCell ref="J103:J104"/>
    <mergeCell ref="J98:J99"/>
    <mergeCell ref="J92:J93"/>
    <mergeCell ref="S103:S104"/>
    <mergeCell ref="S98:S99"/>
    <mergeCell ref="B108:B109"/>
    <mergeCell ref="A122:D122"/>
    <mergeCell ref="A123:D123"/>
    <mergeCell ref="N108:N109"/>
    <mergeCell ref="O108:O109"/>
    <mergeCell ref="N103:N104"/>
    <mergeCell ref="O103:O104"/>
    <mergeCell ref="A114:D114"/>
    <mergeCell ref="A115:D115"/>
    <mergeCell ref="A116:D116"/>
    <mergeCell ref="A118:D118"/>
    <mergeCell ref="A119:D119"/>
    <mergeCell ref="A103:A104"/>
    <mergeCell ref="B103:B104"/>
    <mergeCell ref="C103:C104"/>
    <mergeCell ref="A113:D113"/>
    <mergeCell ref="K108:K109"/>
    <mergeCell ref="J108:J109"/>
    <mergeCell ref="L103:L104"/>
    <mergeCell ref="M103:M104"/>
    <mergeCell ref="A108:A109"/>
    <mergeCell ref="C108:C109"/>
    <mergeCell ref="B125:D125"/>
    <mergeCell ref="B117:D117"/>
    <mergeCell ref="A124:D124"/>
    <mergeCell ref="C88:C89"/>
    <mergeCell ref="K88:K89"/>
    <mergeCell ref="L88:L89"/>
    <mergeCell ref="M88:M89"/>
    <mergeCell ref="A70:A71"/>
    <mergeCell ref="B70:B71"/>
    <mergeCell ref="C70:C71"/>
    <mergeCell ref="J70:J71"/>
    <mergeCell ref="J82:J84"/>
    <mergeCell ref="J88:J89"/>
    <mergeCell ref="J114:S125"/>
    <mergeCell ref="L92:L93"/>
    <mergeCell ref="M92:M93"/>
    <mergeCell ref="S82:S84"/>
    <mergeCell ref="P108:P109"/>
    <mergeCell ref="L98:L99"/>
    <mergeCell ref="Q108:Q109"/>
    <mergeCell ref="M98:M99"/>
    <mergeCell ref="Q98:Q99"/>
    <mergeCell ref="A120:D120"/>
    <mergeCell ref="A121:D121"/>
    <mergeCell ref="K82:K84"/>
    <mergeCell ref="L82:L84"/>
    <mergeCell ref="M82:M84"/>
    <mergeCell ref="K70:K71"/>
    <mergeCell ref="N48:N49"/>
    <mergeCell ref="O48:O49"/>
    <mergeCell ref="M52:M53"/>
    <mergeCell ref="N52:N53"/>
    <mergeCell ref="O52:O53"/>
    <mergeCell ref="L66:L67"/>
    <mergeCell ref="N66:N67"/>
    <mergeCell ref="O66:O67"/>
    <mergeCell ref="L62:L63"/>
    <mergeCell ref="M62:M63"/>
    <mergeCell ref="R37:R38"/>
    <mergeCell ref="P62:P63"/>
    <mergeCell ref="Q62:Q63"/>
    <mergeCell ref="R70:R71"/>
    <mergeCell ref="K66:K67"/>
    <mergeCell ref="K62:K63"/>
    <mergeCell ref="K37:K38"/>
    <mergeCell ref="L37:L38"/>
    <mergeCell ref="O45:O46"/>
    <mergeCell ref="M41:M42"/>
    <mergeCell ref="L41:L42"/>
    <mergeCell ref="S57:S59"/>
    <mergeCell ref="S62:S63"/>
    <mergeCell ref="P45:P53"/>
    <mergeCell ref="R82:R84"/>
    <mergeCell ref="Q45:Q53"/>
    <mergeCell ref="R45:R53"/>
    <mergeCell ref="Q57:Q59"/>
    <mergeCell ref="R57:R59"/>
    <mergeCell ref="S45:S53"/>
    <mergeCell ref="P57:P59"/>
    <mergeCell ref="Q66:Q67"/>
    <mergeCell ref="T14:T15"/>
    <mergeCell ref="K16:T16"/>
    <mergeCell ref="T17:T18"/>
    <mergeCell ref="T20:T23"/>
    <mergeCell ref="T37:T38"/>
    <mergeCell ref="K40:T40"/>
    <mergeCell ref="T41:T42"/>
    <mergeCell ref="T45:T46"/>
    <mergeCell ref="T48:T49"/>
    <mergeCell ref="Q37:Q38"/>
    <mergeCell ref="S41:S42"/>
    <mergeCell ref="Q41:Q42"/>
    <mergeCell ref="R41:R42"/>
    <mergeCell ref="P41:P42"/>
    <mergeCell ref="M20:M23"/>
    <mergeCell ref="N20:N23"/>
    <mergeCell ref="O20:O23"/>
    <mergeCell ref="M37:M38"/>
    <mergeCell ref="N37:N38"/>
    <mergeCell ref="O37:O38"/>
    <mergeCell ref="L24:L29"/>
    <mergeCell ref="P24:P29"/>
    <mergeCell ref="Q17:Q23"/>
    <mergeCell ref="S37:S38"/>
    <mergeCell ref="K97:T97"/>
    <mergeCell ref="T98:T99"/>
    <mergeCell ref="T103:T104"/>
    <mergeCell ref="T108:T109"/>
    <mergeCell ref="J113:T113"/>
    <mergeCell ref="T24:T29"/>
    <mergeCell ref="T30:T36"/>
    <mergeCell ref="T52:T53"/>
    <mergeCell ref="K56:T56"/>
    <mergeCell ref="T57:T59"/>
    <mergeCell ref="T62:T63"/>
    <mergeCell ref="T66:T67"/>
    <mergeCell ref="T70:T71"/>
    <mergeCell ref="K87:T87"/>
    <mergeCell ref="T88:T89"/>
    <mergeCell ref="T92:T93"/>
    <mergeCell ref="S88:S89"/>
    <mergeCell ref="P82:P84"/>
    <mergeCell ref="Q82:Q84"/>
    <mergeCell ref="S66:S67"/>
    <mergeCell ref="Q88:Q89"/>
    <mergeCell ref="R62:R63"/>
    <mergeCell ref="Q70:Q71"/>
    <mergeCell ref="S70:S71"/>
  </mergeCells>
  <conditionalFormatting sqref="E14:H14">
    <cfRule type="dataBar" priority="1">
      <dataBar>
        <cfvo type="min"/>
        <cfvo type="max"/>
        <color rgb="FF638EC6"/>
      </dataBar>
      <extLst>
        <ext xmlns:x14="http://schemas.microsoft.com/office/spreadsheetml/2009/9/main" uri="{B025F937-C7B1-47D3-B67F-A62EFF666E3E}">
          <x14:id>{39D2F702-64AD-4570-9D0B-5A3C49A0C027}</x14:id>
        </ext>
      </extLst>
    </cfRule>
  </conditionalFormatting>
  <conditionalFormatting sqref="I14:J15 K14">
    <cfRule type="dataBar" priority="3">
      <dataBar>
        <cfvo type="min"/>
        <cfvo type="max"/>
        <color rgb="FF638EC6"/>
      </dataBar>
      <extLst>
        <ext xmlns:x14="http://schemas.microsoft.com/office/spreadsheetml/2009/9/main" uri="{B025F937-C7B1-47D3-B67F-A62EFF666E3E}">
          <x14:id>{DCAEF408-BB30-4A7E-A0B6-147271EF3562}</x14:id>
        </ext>
      </extLst>
    </cfRule>
  </conditionalFormatting>
  <pageMargins left="0.7" right="0.7" top="0.75" bottom="0.75" header="0.3" footer="0.3"/>
  <pageSetup paperSize="8" scale="60"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39D2F702-64AD-4570-9D0B-5A3C49A0C027}">
            <x14:dataBar minLength="0" maxLength="100" border="1" negativeBarBorderColorSameAsPositive="0">
              <x14:cfvo type="autoMin"/>
              <x14:cfvo type="autoMax"/>
              <x14:borderColor rgb="FF638EC6"/>
              <x14:negativeFillColor rgb="FFFF0000"/>
              <x14:negativeBorderColor rgb="FFFF0000"/>
              <x14:axisColor rgb="FF000000"/>
            </x14:dataBar>
          </x14:cfRule>
          <xm:sqref>E14:H14</xm:sqref>
        </x14:conditionalFormatting>
        <x14:conditionalFormatting xmlns:xm="http://schemas.microsoft.com/office/excel/2006/main">
          <x14:cfRule type="dataBar" id="{DCAEF408-BB30-4A7E-A0B6-147271EF3562}">
            <x14:dataBar minLength="0" maxLength="100" border="1" negativeBarBorderColorSameAsPositive="0">
              <x14:cfvo type="autoMin"/>
              <x14:cfvo type="autoMax"/>
              <x14:borderColor rgb="FF638EC6"/>
              <x14:negativeFillColor rgb="FFFF0000"/>
              <x14:negativeBorderColor rgb="FFFF0000"/>
              <x14:axisColor rgb="FF000000"/>
            </x14:dataBar>
          </x14:cfRule>
          <xm:sqref>I14:J15 K14</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38682-C9BD-44D7-AD09-D6667D127E7E}">
  <sheetPr codeName="Lapas13"/>
  <dimension ref="A1:AP1130"/>
  <sheetViews>
    <sheetView topLeftCell="G274" zoomScale="98" zoomScaleNormal="98" workbookViewId="0">
      <selection activeCell="B42" sqref="B42:B43"/>
    </sheetView>
  </sheetViews>
  <sheetFormatPr defaultColWidth="9.15234375" defaultRowHeight="12.45"/>
  <cols>
    <col min="1" max="1" width="14.84375" style="368" customWidth="1"/>
    <col min="2" max="2" width="35.3828125" style="368" customWidth="1"/>
    <col min="3" max="3" width="6.3046875" style="368" customWidth="1"/>
    <col min="4" max="4" width="5.53515625" style="368" customWidth="1"/>
    <col min="5" max="5" width="12.69140625" style="370" customWidth="1"/>
    <col min="6" max="6" width="13.3828125" style="370" customWidth="1"/>
    <col min="7" max="7" width="13.84375" style="370" customWidth="1"/>
    <col min="8" max="8" width="13.53515625" style="370" customWidth="1"/>
    <col min="9" max="9" width="15.53515625" style="368" hidden="1" customWidth="1"/>
    <col min="10" max="10" width="12.84375" style="368" customWidth="1"/>
    <col min="11" max="11" width="59.3828125" style="1539" customWidth="1"/>
    <col min="12" max="12" width="13.69140625" style="368" customWidth="1"/>
    <col min="13" max="13" width="30.53515625" style="368" customWidth="1"/>
    <col min="14" max="14" width="21" style="368" customWidth="1"/>
    <col min="15" max="15" width="18.15234375" style="368" customWidth="1"/>
    <col min="16" max="18" width="6.3046875" style="461" hidden="1" customWidth="1"/>
    <col min="19" max="19" width="29.3828125" style="368" hidden="1" customWidth="1"/>
    <col min="20" max="20" width="19" customWidth="1"/>
    <col min="21" max="16384" width="9.15234375" style="368"/>
  </cols>
  <sheetData>
    <row r="1" spans="1:20" ht="30" hidden="1" customHeight="1">
      <c r="A1" s="384" t="s">
        <v>2196</v>
      </c>
      <c r="B1" s="384"/>
      <c r="C1" s="384"/>
      <c r="D1" s="384"/>
      <c r="E1" s="384"/>
      <c r="F1" s="384"/>
      <c r="G1" s="384"/>
      <c r="H1" s="384"/>
      <c r="I1" s="384"/>
      <c r="J1" s="384"/>
      <c r="K1" s="1535"/>
      <c r="L1" s="390"/>
      <c r="M1" s="390"/>
      <c r="N1" s="390"/>
      <c r="O1" s="390"/>
      <c r="P1" s="369">
        <v>2024</v>
      </c>
      <c r="Q1" s="369">
        <v>2025</v>
      </c>
      <c r="R1" s="369">
        <v>2026</v>
      </c>
      <c r="S1" s="390"/>
      <c r="T1" s="368"/>
    </row>
    <row r="2" spans="1:20" ht="23.25" customHeight="1">
      <c r="A2" s="1901" t="s">
        <v>2196</v>
      </c>
      <c r="B2" s="1901"/>
      <c r="C2" s="1901"/>
      <c r="D2" s="1901"/>
      <c r="E2" s="1901"/>
      <c r="F2" s="1901"/>
      <c r="G2" s="1901"/>
      <c r="H2" s="1901"/>
      <c r="I2" s="1901"/>
      <c r="J2" s="1901"/>
      <c r="K2" s="1901"/>
      <c r="L2" s="374"/>
      <c r="M2" s="374"/>
      <c r="N2" s="374"/>
      <c r="O2" s="374"/>
      <c r="P2" s="1901"/>
      <c r="Q2" s="1901"/>
      <c r="R2" s="1901"/>
      <c r="S2" s="1901"/>
      <c r="T2" s="368"/>
    </row>
    <row r="3" spans="1:20" ht="30.65" customHeight="1">
      <c r="A3" s="1867" t="s">
        <v>2697</v>
      </c>
      <c r="B3" s="1867"/>
      <c r="C3" s="1867"/>
      <c r="D3" s="1867"/>
      <c r="E3" s="1867"/>
      <c r="F3" s="1867"/>
      <c r="G3" s="1867"/>
      <c r="H3" s="1867"/>
      <c r="I3" s="1867"/>
      <c r="J3" s="1867"/>
      <c r="K3" s="1867"/>
      <c r="L3" s="1867"/>
      <c r="M3" s="1867"/>
      <c r="N3" s="1867"/>
      <c r="O3" s="1867"/>
      <c r="P3" s="1867"/>
      <c r="Q3" s="1867"/>
      <c r="R3" s="1867"/>
      <c r="S3" s="1867"/>
      <c r="T3" s="368"/>
    </row>
    <row r="4" spans="1:20" s="374" customFormat="1" ht="9" customHeight="1">
      <c r="A4" s="626"/>
      <c r="B4" s="626"/>
      <c r="K4" s="1489"/>
      <c r="P4" s="462"/>
      <c r="Q4" s="462"/>
      <c r="R4" s="462"/>
    </row>
    <row r="5" spans="1:20" s="374" customFormat="1" ht="10.95" customHeight="1">
      <c r="A5" s="374" t="str">
        <f>A17</f>
        <v>05.01.01. (T)</v>
      </c>
      <c r="B5" s="374" t="str">
        <f>B17</f>
        <v>Skatinti vietos bendruomenių iniciatyvas</v>
      </c>
      <c r="K5" s="1489"/>
      <c r="P5" s="462"/>
      <c r="Q5" s="462"/>
      <c r="R5" s="462"/>
    </row>
    <row r="6" spans="1:20" s="374" customFormat="1" ht="11.6">
      <c r="A6" s="459" t="str">
        <f>A48</f>
        <v>05.02.01. (T)</v>
      </c>
      <c r="B6" s="459" t="str">
        <f>B48</f>
        <v xml:space="preserve">Įgyvendinti Lietuvos Respublikos jaunimo politikos pagrindų įstatymo nuostatas </v>
      </c>
      <c r="K6" s="1489"/>
      <c r="P6" s="462"/>
      <c r="Q6" s="462"/>
      <c r="R6" s="462"/>
    </row>
    <row r="7" spans="1:20" s="374" customFormat="1" ht="11.6">
      <c r="A7" s="374" t="str">
        <f>A59</f>
        <v>05.03.01. (T)</v>
      </c>
      <c r="B7" s="374" t="str">
        <f>B59</f>
        <v>Kurti ir plėtoti saugią aplinką 
Visagino savivaldybėje</v>
      </c>
      <c r="K7" s="1489"/>
      <c r="P7" s="462"/>
      <c r="Q7" s="462"/>
      <c r="R7" s="462"/>
    </row>
    <row r="8" spans="1:20" ht="10.199999999999999" customHeight="1">
      <c r="A8" s="374" t="str">
        <f>A72</f>
        <v>05.04.01. (T)</v>
      </c>
      <c r="B8" s="374" t="str">
        <f>B72</f>
        <v>Skatinti bendruomenę 
dalyvauti prevencinėse ir šviečiamosiose veiklose</v>
      </c>
      <c r="C8" s="374"/>
      <c r="D8" s="374"/>
      <c r="E8" s="374"/>
      <c r="F8" s="374"/>
      <c r="G8" s="374"/>
      <c r="H8" s="374"/>
      <c r="I8" s="374"/>
      <c r="J8" s="374"/>
      <c r="K8" s="1489"/>
      <c r="L8" s="374"/>
      <c r="M8" s="374"/>
      <c r="N8" s="374"/>
      <c r="O8" s="374"/>
      <c r="P8" s="462"/>
      <c r="Q8" s="462"/>
      <c r="R8" s="462"/>
      <c r="S8" s="374"/>
      <c r="T8" s="368"/>
    </row>
    <row r="9" spans="1:20" ht="11.5" customHeight="1">
      <c r="A9" s="374" t="str">
        <f>A81</f>
        <v>05.05.01. (T)</v>
      </c>
      <c r="B9" s="374" t="str">
        <f>B81</f>
        <v xml:space="preserve">Įgyvendinti diasporos politikos  strategines gaires "Globali Lietuva" 2023-2030 m. </v>
      </c>
      <c r="C9" s="374"/>
      <c r="D9" s="374"/>
      <c r="E9" s="374"/>
      <c r="F9" s="374"/>
      <c r="G9" s="374"/>
      <c r="H9" s="374"/>
      <c r="I9" s="374"/>
      <c r="J9" s="374"/>
      <c r="K9" s="1489"/>
      <c r="L9" s="374"/>
      <c r="M9" s="374"/>
      <c r="N9" s="374"/>
      <c r="O9" s="374"/>
      <c r="P9" s="462"/>
      <c r="Q9" s="462"/>
      <c r="R9" s="462"/>
      <c r="S9" s="374"/>
      <c r="T9" s="368"/>
    </row>
    <row r="10" spans="1:20">
      <c r="A10" s="1573" t="s">
        <v>2876</v>
      </c>
      <c r="B10" s="1573"/>
      <c r="C10" s="1573"/>
      <c r="D10" s="1573"/>
      <c r="E10" s="1573"/>
      <c r="F10" s="1573"/>
      <c r="G10" s="1573"/>
      <c r="H10" s="1573"/>
      <c r="I10" s="1573"/>
      <c r="J10" s="1573"/>
      <c r="K10" s="1573"/>
      <c r="L10" s="1573"/>
      <c r="M10" s="1573"/>
      <c r="N10" s="374"/>
      <c r="O10" s="374"/>
      <c r="P10" s="462"/>
      <c r="Q10" s="462"/>
      <c r="R10" s="462"/>
      <c r="S10" s="374"/>
      <c r="T10" s="368"/>
    </row>
    <row r="11" spans="1:20" ht="16.95" customHeight="1">
      <c r="A11" s="1573"/>
      <c r="B11" s="1573"/>
      <c r="C11" s="1573"/>
      <c r="D11" s="1573"/>
      <c r="E11" s="1573"/>
      <c r="F11" s="1573"/>
      <c r="G11" s="1573"/>
      <c r="H11" s="1573"/>
      <c r="I11" s="1573"/>
      <c r="J11" s="1573"/>
      <c r="K11" s="1573"/>
      <c r="L11" s="1573"/>
      <c r="M11" s="1573"/>
      <c r="N11" s="374"/>
      <c r="O11" s="374"/>
      <c r="P11" s="452"/>
      <c r="Q11" s="452"/>
      <c r="R11" s="452"/>
      <c r="S11" s="373"/>
      <c r="T11" s="368"/>
    </row>
    <row r="12" spans="1:20" ht="55.5" customHeight="1">
      <c r="A12" s="1867" t="s">
        <v>3098</v>
      </c>
      <c r="B12" s="1867"/>
      <c r="C12" s="1867"/>
      <c r="D12" s="1867"/>
      <c r="E12" s="1867"/>
      <c r="F12" s="1867"/>
      <c r="G12" s="1867"/>
      <c r="H12" s="1867"/>
      <c r="I12" s="1867"/>
      <c r="J12" s="1867"/>
      <c r="K12" s="1867"/>
      <c r="L12" s="1867"/>
      <c r="M12" s="1867"/>
      <c r="N12" s="1867"/>
      <c r="O12" s="1867"/>
      <c r="P12" s="1867"/>
      <c r="Q12" s="1867"/>
      <c r="R12" s="1867"/>
      <c r="S12" s="1867"/>
      <c r="T12" s="368"/>
    </row>
    <row r="13" spans="1:20" s="374" customFormat="1" ht="11.6">
      <c r="K13" s="1489"/>
      <c r="P13" s="462"/>
      <c r="Q13" s="462"/>
      <c r="R13" s="462"/>
    </row>
    <row r="14" spans="1:20" ht="13.2" customHeight="1">
      <c r="A14" s="1867" t="s">
        <v>3698</v>
      </c>
      <c r="B14" s="1867"/>
      <c r="C14" s="1867"/>
      <c r="D14" s="1867"/>
      <c r="E14" s="1867"/>
      <c r="F14" s="1867"/>
      <c r="G14" s="1867"/>
      <c r="H14" s="1867"/>
      <c r="I14" s="1867"/>
      <c r="J14" s="1867"/>
      <c r="K14" s="1867"/>
      <c r="L14" s="374"/>
      <c r="M14" s="374"/>
      <c r="N14" s="374"/>
      <c r="O14" s="374"/>
      <c r="P14" s="452"/>
      <c r="Q14" s="452"/>
      <c r="R14" s="452"/>
      <c r="S14" s="373"/>
      <c r="T14" s="368"/>
    </row>
    <row r="15" spans="1:20" ht="42.65" customHeight="1">
      <c r="A15" s="1681" t="s">
        <v>994</v>
      </c>
      <c r="B15" s="1846" t="s">
        <v>1933</v>
      </c>
      <c r="C15" s="1980" t="s">
        <v>1318</v>
      </c>
      <c r="D15" s="1980" t="s">
        <v>1319</v>
      </c>
      <c r="E15" s="1846" t="s">
        <v>2857</v>
      </c>
      <c r="F15" s="1681" t="s">
        <v>2856</v>
      </c>
      <c r="G15" s="1681" t="s">
        <v>2858</v>
      </c>
      <c r="H15" s="1681" t="s">
        <v>2859</v>
      </c>
      <c r="I15" s="1846" t="s">
        <v>1950</v>
      </c>
      <c r="J15" s="1846" t="s">
        <v>1969</v>
      </c>
      <c r="K15" s="1846" t="s">
        <v>2750</v>
      </c>
      <c r="L15" s="1905" t="s">
        <v>2861</v>
      </c>
      <c r="M15" s="1905" t="s">
        <v>2864</v>
      </c>
      <c r="N15" s="1680" t="s">
        <v>2865</v>
      </c>
      <c r="O15" s="1680"/>
      <c r="P15" s="1680" t="s">
        <v>2868</v>
      </c>
      <c r="Q15" s="1680"/>
      <c r="R15" s="1680"/>
      <c r="S15" s="1680" t="s">
        <v>996</v>
      </c>
      <c r="T15" s="1680" t="s">
        <v>3733</v>
      </c>
    </row>
    <row r="16" spans="1:20" ht="66.650000000000006" customHeight="1">
      <c r="A16" s="1682"/>
      <c r="B16" s="1846"/>
      <c r="C16" s="1980"/>
      <c r="D16" s="1980"/>
      <c r="E16" s="1846"/>
      <c r="F16" s="1682"/>
      <c r="G16" s="1682"/>
      <c r="H16" s="1682"/>
      <c r="I16" s="1846"/>
      <c r="J16" s="1846"/>
      <c r="K16" s="1846"/>
      <c r="L16" s="1906"/>
      <c r="M16" s="1906"/>
      <c r="N16" s="507" t="s">
        <v>2862</v>
      </c>
      <c r="O16" s="507" t="s">
        <v>2863</v>
      </c>
      <c r="P16" s="463">
        <v>2024</v>
      </c>
      <c r="Q16" s="463">
        <v>2025</v>
      </c>
      <c r="R16" s="463">
        <v>2026</v>
      </c>
      <c r="S16" s="1680"/>
      <c r="T16" s="1680"/>
    </row>
    <row r="17" spans="1:42" s="499" customFormat="1" ht="30" customHeight="1">
      <c r="A17" s="501" t="s">
        <v>2010</v>
      </c>
      <c r="B17" s="501" t="s">
        <v>1404</v>
      </c>
      <c r="C17" s="501"/>
      <c r="D17" s="501"/>
      <c r="E17" s="502">
        <f>SUM(E19,E27,E41,E43,E45,E47)</f>
        <v>75.531999999999996</v>
      </c>
      <c r="F17" s="502">
        <f>SUM(F19,F27,F41,F43,F45,F47)</f>
        <v>61</v>
      </c>
      <c r="G17" s="502">
        <f>SUM(G19,G27,G41,G43,G45,G47)</f>
        <v>25.974</v>
      </c>
      <c r="H17" s="1184">
        <f>G17/F17</f>
        <v>0.42580327868852458</v>
      </c>
      <c r="I17" s="502">
        <f>SUM(I19,I27,I41,I43,I45,I47)</f>
        <v>179.97499999999999</v>
      </c>
      <c r="J17" s="501" t="s">
        <v>1205</v>
      </c>
      <c r="K17" s="1653"/>
      <c r="L17" s="1654"/>
      <c r="M17" s="1654"/>
      <c r="N17" s="1654"/>
      <c r="O17" s="1654"/>
      <c r="P17" s="1654"/>
      <c r="Q17" s="1654"/>
      <c r="R17" s="1654"/>
      <c r="S17" s="1654"/>
      <c r="T17" s="1919"/>
      <c r="U17" s="460"/>
      <c r="V17" s="460"/>
      <c r="W17" s="460"/>
      <c r="X17" s="460"/>
      <c r="Y17" s="460"/>
      <c r="Z17" s="460"/>
      <c r="AA17" s="460"/>
      <c r="AB17" s="460"/>
      <c r="AC17" s="460"/>
      <c r="AD17" s="460"/>
      <c r="AE17" s="460"/>
      <c r="AF17" s="460"/>
      <c r="AG17" s="460"/>
      <c r="AH17" s="460"/>
      <c r="AI17" s="460"/>
      <c r="AJ17" s="460"/>
      <c r="AK17" s="460"/>
      <c r="AL17" s="460"/>
      <c r="AM17" s="460"/>
      <c r="AN17" s="460"/>
      <c r="AO17" s="460"/>
      <c r="AP17" s="498"/>
    </row>
    <row r="18" spans="1:42" ht="41.5" customHeight="1">
      <c r="A18" s="1765" t="s">
        <v>2005</v>
      </c>
      <c r="B18" s="1956" t="s">
        <v>1405</v>
      </c>
      <c r="C18" s="1958" t="s">
        <v>1401</v>
      </c>
      <c r="D18" s="659" t="s">
        <v>668</v>
      </c>
      <c r="E18" s="734">
        <v>15</v>
      </c>
      <c r="F18" s="734">
        <v>15</v>
      </c>
      <c r="G18" s="734">
        <v>15</v>
      </c>
      <c r="H18" s="803">
        <f>G18/F18</f>
        <v>1</v>
      </c>
      <c r="I18" s="734">
        <v>15</v>
      </c>
      <c r="J18" s="1701" t="s">
        <v>2240</v>
      </c>
      <c r="K18" s="1640" t="s">
        <v>3088</v>
      </c>
      <c r="L18" s="1637" t="s">
        <v>856</v>
      </c>
      <c r="M18" s="1637" t="s">
        <v>1567</v>
      </c>
      <c r="N18" s="1637" t="s">
        <v>1568</v>
      </c>
      <c r="O18" s="1637" t="s">
        <v>551</v>
      </c>
      <c r="P18" s="1637" t="s">
        <v>1568</v>
      </c>
      <c r="Q18" s="1637" t="s">
        <v>1568</v>
      </c>
      <c r="R18" s="1637" t="s">
        <v>1568</v>
      </c>
      <c r="S18" s="1646" t="s">
        <v>2241</v>
      </c>
      <c r="T18" s="1637" t="s">
        <v>3543</v>
      </c>
    </row>
    <row r="19" spans="1:42" ht="28.5" customHeight="1">
      <c r="A19" s="1766"/>
      <c r="B19" s="1768"/>
      <c r="C19" s="1972"/>
      <c r="D19" s="757" t="s">
        <v>1321</v>
      </c>
      <c r="E19" s="706">
        <f>SUM(E18:E18)</f>
        <v>15</v>
      </c>
      <c r="F19" s="706">
        <f t="shared" ref="F19:G19" si="0">SUM(F18:F18)</f>
        <v>15</v>
      </c>
      <c r="G19" s="706">
        <f t="shared" si="0"/>
        <v>15</v>
      </c>
      <c r="H19" s="707">
        <f>G19/F19</f>
        <v>1</v>
      </c>
      <c r="I19" s="706">
        <f>SUM(I18:I18)</f>
        <v>15</v>
      </c>
      <c r="J19" s="1882"/>
      <c r="K19" s="1641"/>
      <c r="L19" s="1639"/>
      <c r="M19" s="1639"/>
      <c r="N19" s="1639"/>
      <c r="O19" s="1639"/>
      <c r="P19" s="1639"/>
      <c r="Q19" s="1639"/>
      <c r="R19" s="1639"/>
      <c r="S19" s="1646"/>
      <c r="T19" s="1638"/>
    </row>
    <row r="20" spans="1:42" ht="21.75" hidden="1" customHeight="1">
      <c r="A20" s="617" t="s">
        <v>469</v>
      </c>
      <c r="B20" s="616" t="s">
        <v>3039</v>
      </c>
      <c r="C20" s="1185"/>
      <c r="D20" s="720"/>
      <c r="E20" s="466"/>
      <c r="F20" s="466"/>
      <c r="G20" s="538">
        <v>4.5</v>
      </c>
      <c r="H20" s="1186"/>
      <c r="I20" s="905"/>
      <c r="J20" s="1882"/>
      <c r="K20" s="1517" t="s">
        <v>3044</v>
      </c>
      <c r="L20" s="483"/>
      <c r="M20" s="483"/>
      <c r="N20" s="483"/>
      <c r="O20" s="483"/>
      <c r="P20" s="526"/>
      <c r="Q20" s="526"/>
      <c r="R20" s="526"/>
      <c r="S20" s="1646"/>
      <c r="T20" s="1187"/>
    </row>
    <row r="21" spans="1:42" ht="21.75" hidden="1" customHeight="1">
      <c r="A21" s="617" t="s">
        <v>612</v>
      </c>
      <c r="B21" s="616" t="s">
        <v>3040</v>
      </c>
      <c r="C21" s="1185"/>
      <c r="D21" s="720"/>
      <c r="E21" s="466"/>
      <c r="F21" s="466"/>
      <c r="G21" s="538">
        <v>3.5</v>
      </c>
      <c r="H21" s="1186"/>
      <c r="I21" s="905"/>
      <c r="J21" s="1882"/>
      <c r="K21" s="1517" t="s">
        <v>3045</v>
      </c>
      <c r="L21" s="483"/>
      <c r="M21" s="483"/>
      <c r="N21" s="483"/>
      <c r="O21" s="483"/>
      <c r="P21" s="526"/>
      <c r="Q21" s="526"/>
      <c r="R21" s="526"/>
      <c r="S21" s="1646"/>
      <c r="T21" s="1187"/>
    </row>
    <row r="22" spans="1:42" ht="24.75" hidden="1" customHeight="1">
      <c r="A22" s="617" t="s">
        <v>1568</v>
      </c>
      <c r="B22" s="616" t="s">
        <v>3041</v>
      </c>
      <c r="C22" s="1185"/>
      <c r="D22" s="720"/>
      <c r="E22" s="466"/>
      <c r="F22" s="466"/>
      <c r="G22" s="538">
        <v>3</v>
      </c>
      <c r="H22" s="1186"/>
      <c r="I22" s="905"/>
      <c r="J22" s="1882"/>
      <c r="K22" s="1517" t="s">
        <v>3046</v>
      </c>
      <c r="L22" s="483"/>
      <c r="M22" s="483"/>
      <c r="N22" s="483"/>
      <c r="O22" s="483"/>
      <c r="P22" s="526"/>
      <c r="Q22" s="526"/>
      <c r="R22" s="526"/>
      <c r="S22" s="1646"/>
      <c r="T22" s="1187"/>
    </row>
    <row r="23" spans="1:42" ht="24" hidden="1" customHeight="1">
      <c r="A23" s="617" t="s">
        <v>1531</v>
      </c>
      <c r="B23" s="616" t="s">
        <v>3042</v>
      </c>
      <c r="C23" s="1185"/>
      <c r="D23" s="720"/>
      <c r="E23" s="466"/>
      <c r="F23" s="466"/>
      <c r="G23" s="538">
        <v>2.5</v>
      </c>
      <c r="H23" s="1186"/>
      <c r="I23" s="905"/>
      <c r="J23" s="1882"/>
      <c r="K23" s="1517" t="s">
        <v>3047</v>
      </c>
      <c r="L23" s="483"/>
      <c r="M23" s="483"/>
      <c r="N23" s="483"/>
      <c r="O23" s="483"/>
      <c r="P23" s="526"/>
      <c r="Q23" s="526"/>
      <c r="R23" s="526"/>
      <c r="S23" s="1646"/>
      <c r="T23" s="1187"/>
    </row>
    <row r="24" spans="1:42" ht="27" hidden="1" customHeight="1">
      <c r="A24" s="617" t="s">
        <v>551</v>
      </c>
      <c r="B24" s="616" t="s">
        <v>3043</v>
      </c>
      <c r="C24" s="1185"/>
      <c r="D24" s="720"/>
      <c r="E24" s="466"/>
      <c r="F24" s="466"/>
      <c r="G24" s="538">
        <v>1.5</v>
      </c>
      <c r="H24" s="1186"/>
      <c r="I24" s="905"/>
      <c r="J24" s="1882"/>
      <c r="K24" s="1517" t="s">
        <v>3048</v>
      </c>
      <c r="L24" s="483"/>
      <c r="M24" s="483"/>
      <c r="N24" s="483"/>
      <c r="O24" s="483"/>
      <c r="P24" s="526"/>
      <c r="Q24" s="526"/>
      <c r="R24" s="526"/>
      <c r="S24" s="1646"/>
      <c r="T24" s="1187"/>
    </row>
    <row r="25" spans="1:42" ht="35.5" customHeight="1">
      <c r="A25" s="1766" t="s">
        <v>2006</v>
      </c>
      <c r="B25" s="1768" t="s">
        <v>1406</v>
      </c>
      <c r="C25" s="1972" t="s">
        <v>1401</v>
      </c>
      <c r="D25" s="659" t="s">
        <v>668</v>
      </c>
      <c r="E25" s="734">
        <v>10</v>
      </c>
      <c r="F25" s="734">
        <v>10</v>
      </c>
      <c r="G25" s="734">
        <v>10</v>
      </c>
      <c r="H25" s="803">
        <f>G25/F25</f>
        <v>1</v>
      </c>
      <c r="I25" s="734">
        <v>10</v>
      </c>
      <c r="J25" s="1882"/>
      <c r="K25" s="1973" t="s">
        <v>3089</v>
      </c>
      <c r="L25" s="1637" t="s">
        <v>0</v>
      </c>
      <c r="M25" s="1637" t="s">
        <v>86</v>
      </c>
      <c r="N25" s="1637" t="s">
        <v>1536</v>
      </c>
      <c r="O25" s="1637" t="s">
        <v>835</v>
      </c>
      <c r="P25" s="1637" t="s">
        <v>566</v>
      </c>
      <c r="Q25" s="1637" t="s">
        <v>835</v>
      </c>
      <c r="R25" s="1637" t="s">
        <v>208</v>
      </c>
      <c r="S25" s="1646"/>
      <c r="T25" s="1637" t="s">
        <v>3548</v>
      </c>
    </row>
    <row r="26" spans="1:42" ht="45.65" customHeight="1">
      <c r="A26" s="1766"/>
      <c r="B26" s="1768"/>
      <c r="C26" s="1972"/>
      <c r="D26" s="659" t="s">
        <v>1349</v>
      </c>
      <c r="E26" s="734">
        <v>14.532</v>
      </c>
      <c r="F26" s="734">
        <v>0</v>
      </c>
      <c r="G26" s="734">
        <v>0</v>
      </c>
      <c r="H26" s="734"/>
      <c r="I26" s="734">
        <v>14.015000000000001</v>
      </c>
      <c r="J26" s="1882"/>
      <c r="K26" s="1974"/>
      <c r="L26" s="1638"/>
      <c r="M26" s="1638"/>
      <c r="N26" s="1638"/>
      <c r="O26" s="1638"/>
      <c r="P26" s="1638"/>
      <c r="Q26" s="1638"/>
      <c r="R26" s="1638"/>
      <c r="S26" s="1646"/>
      <c r="T26" s="1638"/>
    </row>
    <row r="27" spans="1:42" ht="42.75" customHeight="1">
      <c r="A27" s="1767"/>
      <c r="B27" s="1769"/>
      <c r="C27" s="1957"/>
      <c r="D27" s="705" t="s">
        <v>1321</v>
      </c>
      <c r="E27" s="706">
        <f>SUM(E25:E26)</f>
        <v>24.532</v>
      </c>
      <c r="F27" s="706">
        <f t="shared" ref="F27:G27" si="1">SUM(F25:F26)</f>
        <v>10</v>
      </c>
      <c r="G27" s="706">
        <f t="shared" si="1"/>
        <v>10</v>
      </c>
      <c r="H27" s="707">
        <f t="shared" ref="H27:H44" si="2">G27/F27</f>
        <v>1</v>
      </c>
      <c r="I27" s="706">
        <f>SUM(I25:I26)</f>
        <v>24.015000000000001</v>
      </c>
      <c r="J27" s="1882"/>
      <c r="K27" s="1975"/>
      <c r="L27" s="1639"/>
      <c r="M27" s="1639"/>
      <c r="N27" s="1639"/>
      <c r="O27" s="1639"/>
      <c r="P27" s="1639"/>
      <c r="Q27" s="1639"/>
      <c r="R27" s="1639"/>
      <c r="S27" s="1646"/>
      <c r="T27" s="1639"/>
    </row>
    <row r="28" spans="1:42" ht="21.75" hidden="1" customHeight="1">
      <c r="A28" s="617" t="s">
        <v>3049</v>
      </c>
      <c r="B28" s="616" t="s">
        <v>3053</v>
      </c>
      <c r="C28" s="1185"/>
      <c r="D28" s="720"/>
      <c r="E28" s="466"/>
      <c r="F28" s="466"/>
      <c r="G28" s="538">
        <v>1</v>
      </c>
      <c r="H28" s="1186"/>
      <c r="I28" s="905"/>
      <c r="J28" s="1882"/>
      <c r="K28" s="1517" t="s">
        <v>3057</v>
      </c>
      <c r="L28" s="483"/>
      <c r="M28" s="483"/>
      <c r="N28" s="483"/>
      <c r="O28" s="483"/>
      <c r="P28" s="526"/>
      <c r="Q28" s="526"/>
      <c r="R28" s="526"/>
      <c r="S28" s="1646"/>
      <c r="T28" s="1187"/>
    </row>
    <row r="29" spans="1:42" ht="21.75" hidden="1" customHeight="1">
      <c r="A29" s="617" t="s">
        <v>3050</v>
      </c>
      <c r="B29" s="616" t="s">
        <v>3054</v>
      </c>
      <c r="C29" s="1185"/>
      <c r="D29" s="720"/>
      <c r="E29" s="466"/>
      <c r="F29" s="466"/>
      <c r="G29" s="538">
        <v>1</v>
      </c>
      <c r="H29" s="1186"/>
      <c r="I29" s="905"/>
      <c r="J29" s="1882"/>
      <c r="K29" s="1517" t="s">
        <v>3058</v>
      </c>
      <c r="L29" s="483"/>
      <c r="M29" s="483"/>
      <c r="N29" s="483"/>
      <c r="O29" s="483"/>
      <c r="P29" s="526"/>
      <c r="Q29" s="526"/>
      <c r="R29" s="526"/>
      <c r="S29" s="1646"/>
      <c r="T29" s="1187"/>
    </row>
    <row r="30" spans="1:42" ht="24.75" hidden="1" customHeight="1">
      <c r="A30" s="617" t="s">
        <v>3051</v>
      </c>
      <c r="B30" s="616" t="s">
        <v>3055</v>
      </c>
      <c r="C30" s="1185"/>
      <c r="D30" s="720"/>
      <c r="E30" s="466"/>
      <c r="F30" s="466"/>
      <c r="G30" s="538">
        <v>1</v>
      </c>
      <c r="H30" s="1186"/>
      <c r="I30" s="905"/>
      <c r="J30" s="1882"/>
      <c r="K30" s="1517" t="s">
        <v>3059</v>
      </c>
      <c r="L30" s="483"/>
      <c r="M30" s="483"/>
      <c r="N30" s="483"/>
      <c r="O30" s="483"/>
      <c r="P30" s="526"/>
      <c r="Q30" s="526"/>
      <c r="R30" s="526"/>
      <c r="S30" s="1646"/>
      <c r="T30" s="1187"/>
    </row>
    <row r="31" spans="1:42" ht="18" hidden="1" customHeight="1">
      <c r="A31" s="617" t="s">
        <v>3052</v>
      </c>
      <c r="B31" s="616" t="s">
        <v>3056</v>
      </c>
      <c r="C31" s="1185"/>
      <c r="D31" s="720"/>
      <c r="E31" s="466"/>
      <c r="F31" s="466"/>
      <c r="G31" s="538">
        <v>1</v>
      </c>
      <c r="H31" s="1186"/>
      <c r="I31" s="905"/>
      <c r="J31" s="1882"/>
      <c r="K31" s="1517" t="s">
        <v>3060</v>
      </c>
      <c r="L31" s="483"/>
      <c r="M31" s="483"/>
      <c r="N31" s="483"/>
      <c r="O31" s="483"/>
      <c r="P31" s="526"/>
      <c r="Q31" s="526"/>
      <c r="R31" s="526"/>
      <c r="S31" s="1646"/>
      <c r="T31" s="1187"/>
    </row>
    <row r="32" spans="1:42" ht="19.5" hidden="1" customHeight="1">
      <c r="A32" s="617" t="s">
        <v>3061</v>
      </c>
      <c r="B32" s="616" t="s">
        <v>3069</v>
      </c>
      <c r="C32" s="1185"/>
      <c r="D32" s="720"/>
      <c r="E32" s="466"/>
      <c r="F32" s="466"/>
      <c r="G32" s="538">
        <v>0.86</v>
      </c>
      <c r="H32" s="1186"/>
      <c r="I32" s="905"/>
      <c r="J32" s="1882"/>
      <c r="K32" s="1517" t="s">
        <v>3070</v>
      </c>
      <c r="L32" s="483"/>
      <c r="M32" s="483"/>
      <c r="N32" s="483"/>
      <c r="O32" s="483"/>
      <c r="P32" s="526"/>
      <c r="Q32" s="526"/>
      <c r="R32" s="526"/>
      <c r="S32" s="1646"/>
      <c r="T32" s="1187"/>
    </row>
    <row r="33" spans="1:20" ht="21.75" hidden="1" customHeight="1">
      <c r="A33" s="617" t="s">
        <v>3062</v>
      </c>
      <c r="B33" s="616" t="s">
        <v>3055</v>
      </c>
      <c r="C33" s="1185"/>
      <c r="D33" s="720"/>
      <c r="E33" s="466"/>
      <c r="F33" s="466"/>
      <c r="G33" s="538">
        <v>0.83</v>
      </c>
      <c r="H33" s="1186"/>
      <c r="I33" s="905"/>
      <c r="J33" s="1882"/>
      <c r="K33" s="1517" t="s">
        <v>3071</v>
      </c>
      <c r="L33" s="483"/>
      <c r="M33" s="483"/>
      <c r="N33" s="483"/>
      <c r="O33" s="483"/>
      <c r="P33" s="526"/>
      <c r="Q33" s="526"/>
      <c r="R33" s="526"/>
      <c r="S33" s="1646"/>
      <c r="T33" s="1187"/>
    </row>
    <row r="34" spans="1:20" ht="21.75" hidden="1" customHeight="1">
      <c r="A34" s="617" t="s">
        <v>3063</v>
      </c>
      <c r="B34" s="616" t="s">
        <v>3072</v>
      </c>
      <c r="C34" s="1185"/>
      <c r="D34" s="720"/>
      <c r="E34" s="466"/>
      <c r="F34" s="466"/>
      <c r="G34" s="538">
        <v>0.76</v>
      </c>
      <c r="H34" s="1186"/>
      <c r="I34" s="905"/>
      <c r="J34" s="1882"/>
      <c r="K34" s="1517" t="s">
        <v>3073</v>
      </c>
      <c r="L34" s="483"/>
      <c r="M34" s="483"/>
      <c r="N34" s="483"/>
      <c r="O34" s="483"/>
      <c r="P34" s="526"/>
      <c r="Q34" s="526"/>
      <c r="R34" s="526"/>
      <c r="S34" s="1646"/>
      <c r="T34" s="1187"/>
    </row>
    <row r="35" spans="1:20" ht="24.75" hidden="1" customHeight="1">
      <c r="A35" s="617" t="s">
        <v>3064</v>
      </c>
      <c r="B35" s="616" t="s">
        <v>3074</v>
      </c>
      <c r="C35" s="1185"/>
      <c r="D35" s="720"/>
      <c r="E35" s="466"/>
      <c r="F35" s="466"/>
      <c r="G35" s="538">
        <v>0.75</v>
      </c>
      <c r="H35" s="1186"/>
      <c r="I35" s="905"/>
      <c r="J35" s="1882"/>
      <c r="K35" s="1517" t="s">
        <v>3075</v>
      </c>
      <c r="L35" s="483"/>
      <c r="M35" s="483"/>
      <c r="N35" s="483"/>
      <c r="O35" s="483"/>
      <c r="P35" s="526"/>
      <c r="Q35" s="526"/>
      <c r="R35" s="526"/>
      <c r="S35" s="1646"/>
      <c r="T35" s="1187"/>
    </row>
    <row r="36" spans="1:20" ht="24" hidden="1" customHeight="1">
      <c r="A36" s="617" t="s">
        <v>3065</v>
      </c>
      <c r="B36" s="616" t="s">
        <v>3076</v>
      </c>
      <c r="C36" s="1185"/>
      <c r="D36" s="720"/>
      <c r="E36" s="466"/>
      <c r="F36" s="466"/>
      <c r="G36" s="538">
        <v>0.7</v>
      </c>
      <c r="H36" s="1186"/>
      <c r="I36" s="905"/>
      <c r="J36" s="1882"/>
      <c r="K36" s="1517" t="s">
        <v>3077</v>
      </c>
      <c r="L36" s="483"/>
      <c r="M36" s="483"/>
      <c r="N36" s="483"/>
      <c r="O36" s="483"/>
      <c r="P36" s="526"/>
      <c r="Q36" s="526"/>
      <c r="R36" s="526"/>
      <c r="S36" s="1646"/>
      <c r="T36" s="1187"/>
    </row>
    <row r="37" spans="1:20" ht="27" hidden="1" customHeight="1">
      <c r="A37" s="617" t="s">
        <v>3066</v>
      </c>
      <c r="B37" s="616" t="s">
        <v>3078</v>
      </c>
      <c r="C37" s="1185"/>
      <c r="D37" s="720"/>
      <c r="E37" s="466"/>
      <c r="F37" s="466"/>
      <c r="G37" s="538">
        <v>0.7</v>
      </c>
      <c r="H37" s="1186"/>
      <c r="I37" s="905"/>
      <c r="J37" s="1882"/>
      <c r="K37" s="1517" t="s">
        <v>3079</v>
      </c>
      <c r="L37" s="483"/>
      <c r="M37" s="483"/>
      <c r="N37" s="483"/>
      <c r="O37" s="483"/>
      <c r="P37" s="526"/>
      <c r="Q37" s="526"/>
      <c r="R37" s="526"/>
      <c r="S37" s="1646"/>
      <c r="T37" s="1187"/>
    </row>
    <row r="38" spans="1:20" ht="27" hidden="1" customHeight="1">
      <c r="A38" s="617" t="s">
        <v>3067</v>
      </c>
      <c r="B38" s="966" t="s">
        <v>3080</v>
      </c>
      <c r="C38" s="1188"/>
      <c r="D38" s="714"/>
      <c r="E38" s="466"/>
      <c r="F38" s="466"/>
      <c r="G38" s="538">
        <v>0.7</v>
      </c>
      <c r="H38" s="1186"/>
      <c r="I38" s="905"/>
      <c r="J38" s="1882"/>
      <c r="K38" s="1536" t="s">
        <v>3081</v>
      </c>
      <c r="L38" s="533"/>
      <c r="M38" s="533"/>
      <c r="N38" s="533"/>
      <c r="O38" s="533"/>
      <c r="P38" s="526"/>
      <c r="Q38" s="526"/>
      <c r="R38" s="526"/>
      <c r="S38" s="1646"/>
      <c r="T38" s="1187"/>
    </row>
    <row r="39" spans="1:20" ht="21" hidden="1" customHeight="1">
      <c r="A39" s="617" t="s">
        <v>3068</v>
      </c>
      <c r="B39" s="966" t="s">
        <v>3082</v>
      </c>
      <c r="C39" s="1188"/>
      <c r="D39" s="714"/>
      <c r="E39" s="466"/>
      <c r="F39" s="466"/>
      <c r="G39" s="538">
        <v>0.7</v>
      </c>
      <c r="H39" s="1186"/>
      <c r="I39" s="905"/>
      <c r="J39" s="1882"/>
      <c r="K39" s="1536" t="s">
        <v>3083</v>
      </c>
      <c r="L39" s="533"/>
      <c r="M39" s="533"/>
      <c r="N39" s="533"/>
      <c r="O39" s="533"/>
      <c r="P39" s="526"/>
      <c r="Q39" s="526"/>
      <c r="R39" s="526"/>
      <c r="S39" s="1646"/>
      <c r="T39" s="1187"/>
    </row>
    <row r="40" spans="1:20" ht="35.5" customHeight="1">
      <c r="A40" s="1766" t="s">
        <v>2007</v>
      </c>
      <c r="B40" s="1956" t="s">
        <v>2875</v>
      </c>
      <c r="C40" s="1958" t="s">
        <v>1401</v>
      </c>
      <c r="D40" s="659" t="s">
        <v>668</v>
      </c>
      <c r="E40" s="734">
        <v>1</v>
      </c>
      <c r="F40" s="734">
        <v>1</v>
      </c>
      <c r="G40" s="734">
        <v>0.97399999999999998</v>
      </c>
      <c r="H40" s="1156">
        <f t="shared" si="2"/>
        <v>0.97399999999999998</v>
      </c>
      <c r="I40" s="734">
        <v>0.5</v>
      </c>
      <c r="J40" s="1882"/>
      <c r="K40" s="1640" t="s">
        <v>3576</v>
      </c>
      <c r="L40" s="1637" t="s">
        <v>522</v>
      </c>
      <c r="M40" s="1637" t="s">
        <v>2942</v>
      </c>
      <c r="N40" s="1637" t="s">
        <v>551</v>
      </c>
      <c r="O40" s="1637" t="s">
        <v>613</v>
      </c>
      <c r="P40" s="1637" t="s">
        <v>612</v>
      </c>
      <c r="Q40" s="1637" t="s">
        <v>1568</v>
      </c>
      <c r="R40" s="1637" t="s">
        <v>1531</v>
      </c>
      <c r="S40" s="1646"/>
      <c r="T40" s="1637" t="s">
        <v>3557</v>
      </c>
    </row>
    <row r="41" spans="1:20" ht="35.5" customHeight="1">
      <c r="A41" s="1767"/>
      <c r="B41" s="1769"/>
      <c r="C41" s="1957"/>
      <c r="D41" s="705" t="s">
        <v>1321</v>
      </c>
      <c r="E41" s="706">
        <f>SUM(E40:E40)</f>
        <v>1</v>
      </c>
      <c r="F41" s="706">
        <f t="shared" ref="F41:G41" si="3">SUM(F40:F40)</f>
        <v>1</v>
      </c>
      <c r="G41" s="706">
        <f t="shared" si="3"/>
        <v>0.97399999999999998</v>
      </c>
      <c r="H41" s="1078">
        <f t="shared" si="2"/>
        <v>0.97399999999999998</v>
      </c>
      <c r="I41" s="706">
        <f t="shared" ref="I41" si="4">SUM(I40:I40)</f>
        <v>0.5</v>
      </c>
      <c r="J41" s="1882"/>
      <c r="K41" s="1641"/>
      <c r="L41" s="1639"/>
      <c r="M41" s="1639"/>
      <c r="N41" s="1639"/>
      <c r="O41" s="1639"/>
      <c r="P41" s="1639"/>
      <c r="Q41" s="1639"/>
      <c r="R41" s="1639"/>
      <c r="S41" s="1646"/>
      <c r="T41" s="1639"/>
    </row>
    <row r="42" spans="1:20" ht="36.65" customHeight="1">
      <c r="A42" s="1765" t="s">
        <v>2008</v>
      </c>
      <c r="B42" s="1956" t="s">
        <v>1407</v>
      </c>
      <c r="C42" s="1958" t="s">
        <v>1401</v>
      </c>
      <c r="D42" s="659" t="s">
        <v>66</v>
      </c>
      <c r="E42" s="734">
        <v>0.5</v>
      </c>
      <c r="F42" s="734">
        <v>0.5</v>
      </c>
      <c r="G42" s="734">
        <v>0</v>
      </c>
      <c r="H42" s="803">
        <f t="shared" si="2"/>
        <v>0</v>
      </c>
      <c r="I42" s="734">
        <v>88.73</v>
      </c>
      <c r="J42" s="1882"/>
      <c r="K42" s="1640" t="s">
        <v>3084</v>
      </c>
      <c r="L42" s="1637" t="s">
        <v>3512</v>
      </c>
      <c r="M42" s="1637" t="s">
        <v>3650</v>
      </c>
      <c r="N42" s="1637" t="s">
        <v>1568</v>
      </c>
      <c r="O42" s="1637" t="s">
        <v>1568</v>
      </c>
      <c r="P42" s="1637" t="s">
        <v>1568</v>
      </c>
      <c r="Q42" s="1637" t="s">
        <v>1568</v>
      </c>
      <c r="R42" s="1637" t="s">
        <v>1568</v>
      </c>
      <c r="S42" s="1646"/>
      <c r="T42" s="1637" t="s">
        <v>3544</v>
      </c>
    </row>
    <row r="43" spans="1:20" ht="56.25" customHeight="1">
      <c r="A43" s="1767"/>
      <c r="B43" s="1769"/>
      <c r="C43" s="1957"/>
      <c r="D43" s="705" t="s">
        <v>1321</v>
      </c>
      <c r="E43" s="706">
        <f>SUM(E42:E42)</f>
        <v>0.5</v>
      </c>
      <c r="F43" s="706">
        <f t="shared" ref="F43:G43" si="5">SUM(F42:F42)</f>
        <v>0.5</v>
      </c>
      <c r="G43" s="706">
        <f t="shared" si="5"/>
        <v>0</v>
      </c>
      <c r="H43" s="707">
        <f t="shared" si="2"/>
        <v>0</v>
      </c>
      <c r="I43" s="706">
        <f t="shared" ref="I43" si="6">I42</f>
        <v>88.73</v>
      </c>
      <c r="J43" s="1702"/>
      <c r="K43" s="1641"/>
      <c r="L43" s="1639"/>
      <c r="M43" s="1639"/>
      <c r="N43" s="1639"/>
      <c r="O43" s="1639"/>
      <c r="P43" s="1639"/>
      <c r="Q43" s="1639"/>
      <c r="R43" s="1639"/>
      <c r="S43" s="1646"/>
      <c r="T43" s="1639"/>
    </row>
    <row r="44" spans="1:20" ht="44.5" customHeight="1">
      <c r="A44" s="1765" t="s">
        <v>2009</v>
      </c>
      <c r="B44" s="1956" t="s">
        <v>1408</v>
      </c>
      <c r="C44" s="1958" t="s">
        <v>1401</v>
      </c>
      <c r="D44" s="659" t="s">
        <v>668</v>
      </c>
      <c r="E44" s="734">
        <v>34.5</v>
      </c>
      <c r="F44" s="734">
        <v>34.5</v>
      </c>
      <c r="G44" s="734">
        <v>0</v>
      </c>
      <c r="H44" s="803">
        <f t="shared" si="2"/>
        <v>0</v>
      </c>
      <c r="I44" s="734">
        <v>49.5</v>
      </c>
      <c r="J44" s="1698" t="s">
        <v>1211</v>
      </c>
      <c r="K44" s="1640" t="s">
        <v>3651</v>
      </c>
      <c r="L44" s="1637" t="s">
        <v>3513</v>
      </c>
      <c r="M44" s="1637" t="s">
        <v>1569</v>
      </c>
      <c r="N44" s="1637" t="s">
        <v>469</v>
      </c>
      <c r="O44" s="1637" t="s">
        <v>613</v>
      </c>
      <c r="P44" s="1637" t="s">
        <v>612</v>
      </c>
      <c r="Q44" s="1637" t="s">
        <v>612</v>
      </c>
      <c r="R44" s="1637" t="s">
        <v>612</v>
      </c>
      <c r="S44" s="1646" t="s">
        <v>1291</v>
      </c>
      <c r="T44" s="1637" t="s">
        <v>3626</v>
      </c>
    </row>
    <row r="45" spans="1:20" ht="33.65" customHeight="1">
      <c r="A45" s="1766"/>
      <c r="B45" s="1768"/>
      <c r="C45" s="1972"/>
      <c r="D45" s="705" t="s">
        <v>1321</v>
      </c>
      <c r="E45" s="706">
        <f>SUM(E44:E44)</f>
        <v>34.5</v>
      </c>
      <c r="F45" s="706">
        <f t="shared" ref="F45:G45" si="7">SUM(F44:F44)</f>
        <v>34.5</v>
      </c>
      <c r="G45" s="706">
        <f t="shared" si="7"/>
        <v>0</v>
      </c>
      <c r="H45" s="996">
        <v>0</v>
      </c>
      <c r="I45" s="706">
        <f t="shared" ref="I45" si="8">SUM(I44:I44)</f>
        <v>49.5</v>
      </c>
      <c r="J45" s="1698"/>
      <c r="K45" s="1642"/>
      <c r="L45" s="1638"/>
      <c r="M45" s="1638"/>
      <c r="N45" s="1639"/>
      <c r="O45" s="1639"/>
      <c r="P45" s="1638"/>
      <c r="Q45" s="1638"/>
      <c r="R45" s="1638"/>
      <c r="S45" s="1646"/>
      <c r="T45" s="1639"/>
    </row>
    <row r="46" spans="1:20" ht="39" hidden="1" customHeight="1">
      <c r="A46" s="1765" t="s">
        <v>2524</v>
      </c>
      <c r="B46" s="1956" t="s">
        <v>1447</v>
      </c>
      <c r="C46" s="1958" t="s">
        <v>1401</v>
      </c>
      <c r="D46" s="659" t="s">
        <v>668</v>
      </c>
      <c r="E46" s="1114"/>
      <c r="F46" s="1114"/>
      <c r="G46" s="1114"/>
      <c r="H46" s="1114"/>
      <c r="I46" s="734">
        <v>2.23</v>
      </c>
      <c r="J46" s="1698" t="s">
        <v>1211</v>
      </c>
      <c r="K46" s="1640" t="s">
        <v>2707</v>
      </c>
      <c r="L46" s="1637" t="s">
        <v>2834</v>
      </c>
      <c r="M46" s="1637" t="s">
        <v>1613</v>
      </c>
      <c r="N46" s="1637"/>
      <c r="O46" s="1637"/>
      <c r="P46" s="1637" t="s">
        <v>469</v>
      </c>
      <c r="Q46" s="1637" t="s">
        <v>469</v>
      </c>
      <c r="R46" s="1637" t="s">
        <v>469</v>
      </c>
      <c r="S46" s="1638" t="s">
        <v>1291</v>
      </c>
      <c r="T46" s="1189"/>
    </row>
    <row r="47" spans="1:20" ht="49.95" hidden="1" customHeight="1">
      <c r="A47" s="1766"/>
      <c r="B47" s="1768"/>
      <c r="C47" s="1972"/>
      <c r="D47" s="757" t="s">
        <v>1321</v>
      </c>
      <c r="E47" s="1097">
        <f>SUM(E46:E46)</f>
        <v>0</v>
      </c>
      <c r="F47" s="1097"/>
      <c r="G47" s="1097"/>
      <c r="H47" s="1097"/>
      <c r="I47" s="731">
        <f t="shared" ref="I47" si="9">SUM(I46:I46)</f>
        <v>2.23</v>
      </c>
      <c r="J47" s="1698"/>
      <c r="K47" s="1708"/>
      <c r="L47" s="1638"/>
      <c r="M47" s="1638"/>
      <c r="N47" s="1639"/>
      <c r="O47" s="1639"/>
      <c r="P47" s="1638"/>
      <c r="Q47" s="1638"/>
      <c r="R47" s="1638"/>
      <c r="S47" s="1639"/>
      <c r="T47" s="1189"/>
    </row>
    <row r="48" spans="1:20" ht="37.5" customHeight="1">
      <c r="A48" s="469" t="s">
        <v>2011</v>
      </c>
      <c r="B48" s="689" t="s">
        <v>1746</v>
      </c>
      <c r="C48" s="1104"/>
      <c r="D48" s="501"/>
      <c r="E48" s="502">
        <f>SUM(E50,E52,E54,E58,)</f>
        <v>16.8</v>
      </c>
      <c r="F48" s="502">
        <f t="shared" ref="F48:G48" si="10">SUM(F50,F52,F54,F58,)</f>
        <v>16.8</v>
      </c>
      <c r="G48" s="502">
        <f t="shared" si="10"/>
        <v>13.399000000000001</v>
      </c>
      <c r="H48" s="1190">
        <f t="shared" ref="H48:H53" si="11">G48/F48</f>
        <v>0.79755952380952388</v>
      </c>
      <c r="I48" s="502">
        <f t="shared" ref="I48" si="12">SUM(I50,I52,I54,I58,)</f>
        <v>37.599999999999994</v>
      </c>
      <c r="J48" s="502" t="s">
        <v>1290</v>
      </c>
      <c r="K48" s="1653"/>
      <c r="L48" s="1654"/>
      <c r="M48" s="1654"/>
      <c r="N48" s="1654"/>
      <c r="O48" s="1654"/>
      <c r="P48" s="1654"/>
      <c r="Q48" s="1654"/>
      <c r="R48" s="1654"/>
      <c r="S48" s="1654"/>
      <c r="T48" s="1919"/>
    </row>
    <row r="49" spans="1:20" ht="40.200000000000003" customHeight="1">
      <c r="A49" s="1803" t="s">
        <v>2012</v>
      </c>
      <c r="B49" s="1889" t="s">
        <v>1409</v>
      </c>
      <c r="C49" s="1935">
        <v>188711925</v>
      </c>
      <c r="D49" s="724" t="s">
        <v>668</v>
      </c>
      <c r="E49" s="701">
        <v>7</v>
      </c>
      <c r="F49" s="701">
        <v>7</v>
      </c>
      <c r="G49" s="701">
        <v>6.6109999999999998</v>
      </c>
      <c r="H49" s="1077">
        <f t="shared" si="11"/>
        <v>0.9444285714285714</v>
      </c>
      <c r="I49" s="701">
        <v>8</v>
      </c>
      <c r="J49" s="1698" t="s">
        <v>2202</v>
      </c>
      <c r="K49" s="1640" t="s">
        <v>3085</v>
      </c>
      <c r="L49" s="1639" t="s">
        <v>801</v>
      </c>
      <c r="M49" s="1639" t="s">
        <v>899</v>
      </c>
      <c r="N49" s="1637" t="s">
        <v>1568</v>
      </c>
      <c r="O49" s="1637" t="s">
        <v>1536</v>
      </c>
      <c r="P49" s="1639" t="s">
        <v>1568</v>
      </c>
      <c r="Q49" s="1639" t="s">
        <v>551</v>
      </c>
      <c r="R49" s="1639" t="s">
        <v>1540</v>
      </c>
      <c r="S49" s="1638" t="s">
        <v>2242</v>
      </c>
      <c r="T49" s="1637" t="s">
        <v>3544</v>
      </c>
    </row>
    <row r="50" spans="1:20" ht="23.5" customHeight="1">
      <c r="A50" s="1803"/>
      <c r="B50" s="1889"/>
      <c r="C50" s="1935"/>
      <c r="D50" s="727" t="s">
        <v>1321</v>
      </c>
      <c r="E50" s="706">
        <f>E49</f>
        <v>7</v>
      </c>
      <c r="F50" s="706">
        <f t="shared" ref="F50:G50" si="13">F49</f>
        <v>7</v>
      </c>
      <c r="G50" s="706">
        <f t="shared" si="13"/>
        <v>6.6109999999999998</v>
      </c>
      <c r="H50" s="1078">
        <f t="shared" si="11"/>
        <v>0.9444285714285714</v>
      </c>
      <c r="I50" s="706">
        <f t="shared" ref="I50" si="14">I49</f>
        <v>8</v>
      </c>
      <c r="J50" s="1698"/>
      <c r="K50" s="1708"/>
      <c r="L50" s="1646"/>
      <c r="M50" s="1646"/>
      <c r="N50" s="1639"/>
      <c r="O50" s="1639"/>
      <c r="P50" s="1646"/>
      <c r="Q50" s="1646"/>
      <c r="R50" s="1646"/>
      <c r="S50" s="1639"/>
      <c r="T50" s="1639"/>
    </row>
    <row r="51" spans="1:20" ht="50.5" customHeight="1">
      <c r="A51" s="1803" t="s">
        <v>2013</v>
      </c>
      <c r="B51" s="1889" t="s">
        <v>1410</v>
      </c>
      <c r="C51" s="1935">
        <v>188711925</v>
      </c>
      <c r="D51" s="724" t="s">
        <v>668</v>
      </c>
      <c r="E51" s="701">
        <v>2.4</v>
      </c>
      <c r="F51" s="701">
        <v>2.4</v>
      </c>
      <c r="G51" s="701">
        <v>0</v>
      </c>
      <c r="H51" s="1183">
        <f t="shared" si="11"/>
        <v>0</v>
      </c>
      <c r="I51" s="701">
        <v>2.4</v>
      </c>
      <c r="J51" s="1701" t="s">
        <v>2243</v>
      </c>
      <c r="K51" s="1640" t="s">
        <v>3652</v>
      </c>
      <c r="L51" s="1639" t="s">
        <v>663</v>
      </c>
      <c r="M51" s="1639" t="s">
        <v>51</v>
      </c>
      <c r="N51" s="1637" t="s">
        <v>612</v>
      </c>
      <c r="O51" s="1637" t="s">
        <v>613</v>
      </c>
      <c r="P51" s="1637" t="s">
        <v>612</v>
      </c>
      <c r="Q51" s="1637" t="s">
        <v>1531</v>
      </c>
      <c r="R51" s="1637" t="s">
        <v>1536</v>
      </c>
      <c r="S51" s="1637" t="s">
        <v>2244</v>
      </c>
      <c r="T51" s="1637" t="s">
        <v>3557</v>
      </c>
    </row>
    <row r="52" spans="1:20" ht="66" customHeight="1">
      <c r="A52" s="1803"/>
      <c r="B52" s="1890"/>
      <c r="C52" s="1936"/>
      <c r="D52" s="730" t="s">
        <v>1321</v>
      </c>
      <c r="E52" s="731">
        <f>E51</f>
        <v>2.4</v>
      </c>
      <c r="F52" s="731">
        <f t="shared" ref="F52:G52" si="15">F51</f>
        <v>2.4</v>
      </c>
      <c r="G52" s="731">
        <f t="shared" si="15"/>
        <v>0</v>
      </c>
      <c r="H52" s="707">
        <f t="shared" si="11"/>
        <v>0</v>
      </c>
      <c r="I52" s="731">
        <f t="shared" ref="I52" si="16">SUM(I51)</f>
        <v>2.4</v>
      </c>
      <c r="J52" s="1702"/>
      <c r="K52" s="1708"/>
      <c r="L52" s="1646"/>
      <c r="M52" s="1646"/>
      <c r="N52" s="1639"/>
      <c r="O52" s="1639"/>
      <c r="P52" s="1639"/>
      <c r="Q52" s="1639"/>
      <c r="R52" s="1639"/>
      <c r="S52" s="1639"/>
      <c r="T52" s="1639"/>
    </row>
    <row r="53" spans="1:20" ht="35.5" customHeight="1">
      <c r="A53" s="1803" t="s">
        <v>2014</v>
      </c>
      <c r="B53" s="1889" t="s">
        <v>1411</v>
      </c>
      <c r="C53" s="1935">
        <v>188711925</v>
      </c>
      <c r="D53" s="724" t="s">
        <v>668</v>
      </c>
      <c r="E53" s="701">
        <v>3</v>
      </c>
      <c r="F53" s="701">
        <v>3</v>
      </c>
      <c r="G53" s="701">
        <v>3</v>
      </c>
      <c r="H53" s="1077">
        <f t="shared" si="11"/>
        <v>1</v>
      </c>
      <c r="I53" s="701">
        <v>6</v>
      </c>
      <c r="J53" s="1701" t="s">
        <v>2245</v>
      </c>
      <c r="K53" s="1699" t="s">
        <v>1747</v>
      </c>
      <c r="L53" s="1639" t="s">
        <v>3514</v>
      </c>
      <c r="M53" s="1639" t="s">
        <v>3653</v>
      </c>
      <c r="N53" s="1637" t="s">
        <v>612</v>
      </c>
      <c r="O53" s="1637" t="s">
        <v>612</v>
      </c>
      <c r="P53" s="1637" t="s">
        <v>612</v>
      </c>
      <c r="Q53" s="1637" t="s">
        <v>1568</v>
      </c>
      <c r="R53" s="1637" t="s">
        <v>1568</v>
      </c>
      <c r="S53" s="1637" t="s">
        <v>2246</v>
      </c>
      <c r="T53" s="1637" t="s">
        <v>3544</v>
      </c>
    </row>
    <row r="54" spans="1:20" ht="35.25" customHeight="1">
      <c r="A54" s="1803"/>
      <c r="B54" s="1890"/>
      <c r="C54" s="1936"/>
      <c r="D54" s="730" t="s">
        <v>1321</v>
      </c>
      <c r="E54" s="731">
        <f>E53</f>
        <v>3</v>
      </c>
      <c r="F54" s="731">
        <f t="shared" ref="F54:G54" si="17">F53</f>
        <v>3</v>
      </c>
      <c r="G54" s="731">
        <f t="shared" si="17"/>
        <v>3</v>
      </c>
      <c r="H54" s="1078">
        <f t="shared" ref="H54:H95" si="18">G54/F54-1</f>
        <v>0</v>
      </c>
      <c r="I54" s="731">
        <f t="shared" ref="I54" si="19">I53</f>
        <v>6</v>
      </c>
      <c r="J54" s="1702"/>
      <c r="K54" s="1700"/>
      <c r="L54" s="1646"/>
      <c r="M54" s="1646"/>
      <c r="N54" s="1639"/>
      <c r="O54" s="1639"/>
      <c r="P54" s="1639"/>
      <c r="Q54" s="1639"/>
      <c r="R54" s="1639"/>
      <c r="S54" s="1639"/>
      <c r="T54" s="1639"/>
    </row>
    <row r="55" spans="1:20" ht="22.5" hidden="1" customHeight="1">
      <c r="A55" s="1094" t="s">
        <v>469</v>
      </c>
      <c r="B55" s="721" t="s">
        <v>3074</v>
      </c>
      <c r="C55" s="722"/>
      <c r="D55" s="852"/>
      <c r="E55" s="941"/>
      <c r="F55" s="941"/>
      <c r="G55" s="941">
        <v>1.5</v>
      </c>
      <c r="H55" s="1191"/>
      <c r="I55" s="941"/>
      <c r="J55" s="614"/>
      <c r="K55" s="1507" t="s">
        <v>3086</v>
      </c>
      <c r="L55" s="835"/>
      <c r="M55" s="835"/>
      <c r="N55" s="483"/>
      <c r="O55" s="483"/>
      <c r="P55" s="526"/>
      <c r="Q55" s="526"/>
      <c r="R55" s="526"/>
      <c r="S55" s="526"/>
      <c r="T55" s="1187"/>
    </row>
    <row r="56" spans="1:20" ht="22.5" hidden="1" customHeight="1">
      <c r="A56" s="1094" t="s">
        <v>612</v>
      </c>
      <c r="B56" s="721" t="s">
        <v>2948</v>
      </c>
      <c r="C56" s="722"/>
      <c r="D56" s="852"/>
      <c r="E56" s="941"/>
      <c r="F56" s="941"/>
      <c r="G56" s="941">
        <v>1.5</v>
      </c>
      <c r="H56" s="1191"/>
      <c r="I56" s="941"/>
      <c r="J56" s="614"/>
      <c r="K56" s="1507" t="s">
        <v>3087</v>
      </c>
      <c r="L56" s="835"/>
      <c r="M56" s="835"/>
      <c r="N56" s="483"/>
      <c r="O56" s="483"/>
      <c r="P56" s="526"/>
      <c r="Q56" s="526"/>
      <c r="R56" s="526"/>
      <c r="S56" s="526"/>
      <c r="T56" s="1187"/>
    </row>
    <row r="57" spans="1:20" ht="37.200000000000003" customHeight="1">
      <c r="A57" s="1803" t="s">
        <v>2015</v>
      </c>
      <c r="B57" s="1889" t="s">
        <v>1412</v>
      </c>
      <c r="C57" s="1935">
        <v>188711925</v>
      </c>
      <c r="D57" s="724" t="s">
        <v>668</v>
      </c>
      <c r="E57" s="701">
        <v>4.4000000000000004</v>
      </c>
      <c r="F57" s="701">
        <v>4.4000000000000004</v>
      </c>
      <c r="G57" s="701">
        <v>3.7879999999999998</v>
      </c>
      <c r="H57" s="1043">
        <f>G57/F57</f>
        <v>0.86090909090909085</v>
      </c>
      <c r="I57" s="701">
        <v>21.2</v>
      </c>
      <c r="J57" s="1701" t="s">
        <v>2389</v>
      </c>
      <c r="K57" s="1699" t="s">
        <v>3654</v>
      </c>
      <c r="L57" s="1639" t="s">
        <v>52</v>
      </c>
      <c r="M57" s="1639" t="s">
        <v>1570</v>
      </c>
      <c r="N57" s="1637" t="s">
        <v>1531</v>
      </c>
      <c r="O57" s="1637" t="s">
        <v>1598</v>
      </c>
      <c r="P57" s="1637" t="s">
        <v>209</v>
      </c>
      <c r="Q57" s="1637" t="s">
        <v>251</v>
      </c>
      <c r="R57" s="1637" t="s">
        <v>11</v>
      </c>
      <c r="S57" s="1637" t="s">
        <v>2390</v>
      </c>
      <c r="T57" s="1637" t="s">
        <v>3544</v>
      </c>
    </row>
    <row r="58" spans="1:20" ht="33.75" customHeight="1">
      <c r="A58" s="1803"/>
      <c r="B58" s="1890"/>
      <c r="C58" s="1936"/>
      <c r="D58" s="730" t="s">
        <v>1321</v>
      </c>
      <c r="E58" s="731">
        <f>E57</f>
        <v>4.4000000000000004</v>
      </c>
      <c r="F58" s="731">
        <f t="shared" ref="F58:G58" si="20">F57</f>
        <v>4.4000000000000004</v>
      </c>
      <c r="G58" s="731">
        <f t="shared" si="20"/>
        <v>3.7879999999999998</v>
      </c>
      <c r="H58" s="1045">
        <f>G58/F58</f>
        <v>0.86090909090909085</v>
      </c>
      <c r="I58" s="731">
        <f t="shared" ref="I58" si="21">I57</f>
        <v>21.2</v>
      </c>
      <c r="J58" s="1702"/>
      <c r="K58" s="1700"/>
      <c r="L58" s="1646"/>
      <c r="M58" s="1646"/>
      <c r="N58" s="1639"/>
      <c r="O58" s="1639"/>
      <c r="P58" s="1639"/>
      <c r="Q58" s="1639"/>
      <c r="R58" s="1639"/>
      <c r="S58" s="1639"/>
      <c r="T58" s="1639"/>
    </row>
    <row r="59" spans="1:20" ht="33" customHeight="1">
      <c r="A59" s="501" t="s">
        <v>2016</v>
      </c>
      <c r="B59" s="496" t="s">
        <v>2017</v>
      </c>
      <c r="C59" s="501"/>
      <c r="D59" s="501"/>
      <c r="E59" s="502">
        <f>SUM(E61,E66,E69,E71)</f>
        <v>172.5</v>
      </c>
      <c r="F59" s="502">
        <f t="shared" ref="F59:G59" si="22">SUM(F61,F66,F69,F71)</f>
        <v>172.5</v>
      </c>
      <c r="G59" s="502">
        <f t="shared" si="22"/>
        <v>132.351</v>
      </c>
      <c r="H59" s="539">
        <f t="shared" si="18"/>
        <v>-0.23274782608695654</v>
      </c>
      <c r="I59" s="502">
        <f t="shared" ref="I59" si="23">SUM(I61,I66,I69,I71)</f>
        <v>182.39</v>
      </c>
      <c r="J59" s="501" t="s">
        <v>1220</v>
      </c>
      <c r="K59" s="1653"/>
      <c r="L59" s="1654"/>
      <c r="M59" s="1654"/>
      <c r="N59" s="1654"/>
      <c r="O59" s="1654"/>
      <c r="P59" s="1654"/>
      <c r="Q59" s="1654"/>
      <c r="R59" s="1654"/>
      <c r="S59" s="1654"/>
      <c r="T59" s="1919"/>
    </row>
    <row r="60" spans="1:20" ht="36" customHeight="1">
      <c r="A60" s="1767" t="s">
        <v>2018</v>
      </c>
      <c r="B60" s="1895" t="s">
        <v>1413</v>
      </c>
      <c r="C60" s="1937">
        <v>188711925</v>
      </c>
      <c r="D60" s="733" t="s">
        <v>668</v>
      </c>
      <c r="E60" s="734">
        <v>3.5</v>
      </c>
      <c r="F60" s="734">
        <v>3.5</v>
      </c>
      <c r="G60" s="734">
        <v>3.4670000000000001</v>
      </c>
      <c r="H60" s="1043">
        <f>G60/F60</f>
        <v>0.99057142857142855</v>
      </c>
      <c r="I60" s="734">
        <v>1.5</v>
      </c>
      <c r="J60" s="1701" t="s">
        <v>2247</v>
      </c>
      <c r="K60" s="1642" t="s">
        <v>3096</v>
      </c>
      <c r="L60" s="1646" t="s">
        <v>493</v>
      </c>
      <c r="M60" s="1646" t="s">
        <v>307</v>
      </c>
      <c r="N60" s="1637" t="s">
        <v>612</v>
      </c>
      <c r="O60" s="1637" t="s">
        <v>1568</v>
      </c>
      <c r="P60" s="1646" t="s">
        <v>1568</v>
      </c>
      <c r="Q60" s="1646" t="s">
        <v>1568</v>
      </c>
      <c r="R60" s="1646" t="s">
        <v>1568</v>
      </c>
      <c r="S60" s="1637" t="s">
        <v>2248</v>
      </c>
      <c r="T60" s="1637" t="s">
        <v>3544</v>
      </c>
    </row>
    <row r="61" spans="1:20" ht="25.95" customHeight="1">
      <c r="A61" s="1803"/>
      <c r="B61" s="1889"/>
      <c r="C61" s="1935"/>
      <c r="D61" s="727" t="s">
        <v>1321</v>
      </c>
      <c r="E61" s="706">
        <f>E60</f>
        <v>3.5</v>
      </c>
      <c r="F61" s="706">
        <f t="shared" ref="F61:G61" si="24">F60</f>
        <v>3.5</v>
      </c>
      <c r="G61" s="706">
        <f t="shared" si="24"/>
        <v>3.4670000000000001</v>
      </c>
      <c r="H61" s="1045">
        <f>G61/F61</f>
        <v>0.99057142857142855</v>
      </c>
      <c r="I61" s="706">
        <f t="shared" ref="I61" si="25">I60</f>
        <v>1.5</v>
      </c>
      <c r="J61" s="1702"/>
      <c r="K61" s="1708"/>
      <c r="L61" s="1646"/>
      <c r="M61" s="1646"/>
      <c r="N61" s="1639"/>
      <c r="O61" s="1639"/>
      <c r="P61" s="1646"/>
      <c r="Q61" s="1646"/>
      <c r="R61" s="1646"/>
      <c r="S61" s="1639"/>
      <c r="T61" s="1639"/>
    </row>
    <row r="62" spans="1:20" ht="27" hidden="1" customHeight="1">
      <c r="A62" s="617" t="s">
        <v>469</v>
      </c>
      <c r="B62" s="616" t="s">
        <v>3090</v>
      </c>
      <c r="C62" s="1185"/>
      <c r="D62" s="720"/>
      <c r="E62" s="466"/>
      <c r="F62" s="466"/>
      <c r="G62" s="538">
        <v>1.6</v>
      </c>
      <c r="H62" s="1186"/>
      <c r="I62" s="905"/>
      <c r="J62" s="1044"/>
      <c r="K62" s="1517" t="s">
        <v>3091</v>
      </c>
      <c r="L62" s="483"/>
      <c r="M62" s="483"/>
      <c r="N62" s="483"/>
      <c r="O62" s="483"/>
      <c r="P62" s="526"/>
      <c r="Q62" s="526"/>
      <c r="R62" s="526"/>
      <c r="S62" s="526"/>
      <c r="T62" s="1187"/>
    </row>
    <row r="63" spans="1:20" ht="47.25" hidden="1" customHeight="1">
      <c r="A63" s="617" t="s">
        <v>612</v>
      </c>
      <c r="B63" s="966" t="s">
        <v>3092</v>
      </c>
      <c r="C63" s="1188"/>
      <c r="D63" s="714"/>
      <c r="E63" s="466"/>
      <c r="F63" s="466"/>
      <c r="G63" s="538">
        <v>0.5</v>
      </c>
      <c r="H63" s="1186"/>
      <c r="I63" s="905"/>
      <c r="J63" s="1044"/>
      <c r="K63" s="1536" t="s">
        <v>3093</v>
      </c>
      <c r="L63" s="533"/>
      <c r="M63" s="533"/>
      <c r="N63" s="533"/>
      <c r="O63" s="533"/>
      <c r="P63" s="526"/>
      <c r="Q63" s="526"/>
      <c r="R63" s="526"/>
      <c r="S63" s="526"/>
      <c r="T63" s="1187"/>
    </row>
    <row r="64" spans="1:20" ht="32.25" hidden="1" customHeight="1">
      <c r="A64" s="617" t="s">
        <v>1568</v>
      </c>
      <c r="B64" s="966" t="s">
        <v>3094</v>
      </c>
      <c r="C64" s="1188"/>
      <c r="D64" s="714"/>
      <c r="E64" s="466"/>
      <c r="F64" s="466"/>
      <c r="G64" s="538">
        <v>1.4</v>
      </c>
      <c r="H64" s="1186"/>
      <c r="I64" s="905"/>
      <c r="J64" s="1044"/>
      <c r="K64" s="1536" t="s">
        <v>3095</v>
      </c>
      <c r="L64" s="483"/>
      <c r="M64" s="483"/>
      <c r="N64" s="533"/>
      <c r="O64" s="533"/>
      <c r="P64" s="526"/>
      <c r="Q64" s="526"/>
      <c r="R64" s="526"/>
      <c r="S64" s="526"/>
      <c r="T64" s="1187"/>
    </row>
    <row r="65" spans="1:20" ht="30" customHeight="1">
      <c r="A65" s="1803" t="s">
        <v>2019</v>
      </c>
      <c r="B65" s="1889" t="s">
        <v>683</v>
      </c>
      <c r="C65" s="1935">
        <v>188711925</v>
      </c>
      <c r="D65" s="724" t="s">
        <v>668</v>
      </c>
      <c r="E65" s="701">
        <v>110.1</v>
      </c>
      <c r="F65" s="701">
        <v>110.1</v>
      </c>
      <c r="G65" s="701">
        <v>95.804000000000002</v>
      </c>
      <c r="H65" s="1043">
        <f>G65/F65</f>
        <v>0.87015440508628528</v>
      </c>
      <c r="I65" s="701">
        <v>133.88999999999999</v>
      </c>
      <c r="J65" s="1701" t="s">
        <v>2249</v>
      </c>
      <c r="K65" s="1640" t="s">
        <v>3655</v>
      </c>
      <c r="L65" s="1639" t="s">
        <v>105</v>
      </c>
      <c r="M65" s="1639" t="s">
        <v>39</v>
      </c>
      <c r="N65" s="1637" t="s">
        <v>845</v>
      </c>
      <c r="O65" s="1637" t="s">
        <v>845</v>
      </c>
      <c r="P65" s="1637" t="s">
        <v>845</v>
      </c>
      <c r="Q65" s="1637" t="s">
        <v>845</v>
      </c>
      <c r="R65" s="1637" t="s">
        <v>845</v>
      </c>
      <c r="S65" s="1637" t="s">
        <v>2250</v>
      </c>
      <c r="T65" s="1637" t="s">
        <v>3544</v>
      </c>
    </row>
    <row r="66" spans="1:20" ht="24" customHeight="1">
      <c r="A66" s="1803"/>
      <c r="B66" s="1890"/>
      <c r="C66" s="1936"/>
      <c r="D66" s="730" t="s">
        <v>1321</v>
      </c>
      <c r="E66" s="731">
        <f>E65</f>
        <v>110.1</v>
      </c>
      <c r="F66" s="706">
        <f t="shared" ref="F66:G66" si="26">F65</f>
        <v>110.1</v>
      </c>
      <c r="G66" s="706">
        <f t="shared" si="26"/>
        <v>95.804000000000002</v>
      </c>
      <c r="H66" s="1045">
        <f>G66/F66</f>
        <v>0.87015440508628528</v>
      </c>
      <c r="I66" s="731">
        <f t="shared" ref="I66" si="27">I65</f>
        <v>133.88999999999999</v>
      </c>
      <c r="J66" s="1702"/>
      <c r="K66" s="1708"/>
      <c r="L66" s="1646"/>
      <c r="M66" s="1646"/>
      <c r="N66" s="1639"/>
      <c r="O66" s="1639"/>
      <c r="P66" s="1639"/>
      <c r="Q66" s="1639"/>
      <c r="R66" s="1639"/>
      <c r="S66" s="1639"/>
      <c r="T66" s="1639"/>
    </row>
    <row r="67" spans="1:20" ht="41.25" hidden="1" customHeight="1">
      <c r="A67" s="1192"/>
      <c r="B67" s="1193" t="s">
        <v>2708</v>
      </c>
      <c r="C67" s="1176"/>
      <c r="D67" s="1194"/>
      <c r="E67" s="1116"/>
      <c r="F67" s="1116"/>
      <c r="G67" s="1116"/>
      <c r="H67" s="1195" t="e">
        <f t="shared" si="18"/>
        <v>#DIV/0!</v>
      </c>
      <c r="I67" s="464">
        <v>45</v>
      </c>
      <c r="J67" s="1196"/>
      <c r="K67" s="1492"/>
      <c r="L67" s="797"/>
      <c r="M67" s="835"/>
      <c r="N67" s="485"/>
      <c r="O67" s="485"/>
      <c r="P67" s="485"/>
      <c r="Q67" s="485"/>
      <c r="R67" s="485"/>
      <c r="S67" s="485"/>
      <c r="T67" s="1189"/>
    </row>
    <row r="68" spans="1:20" ht="32.25" customHeight="1">
      <c r="A68" s="1803" t="s">
        <v>2020</v>
      </c>
      <c r="B68" s="1889" t="s">
        <v>1414</v>
      </c>
      <c r="C68" s="1935">
        <v>188711925</v>
      </c>
      <c r="D68" s="724" t="s">
        <v>668</v>
      </c>
      <c r="E68" s="701">
        <v>2.9</v>
      </c>
      <c r="F68" s="701">
        <v>2.9</v>
      </c>
      <c r="G68" s="734">
        <v>0.88600000000000001</v>
      </c>
      <c r="H68" s="1043">
        <f t="shared" ref="H68:H76" si="28">G68/F68</f>
        <v>0.30551724137931036</v>
      </c>
      <c r="I68" s="734">
        <v>2</v>
      </c>
      <c r="J68" s="1701" t="s">
        <v>2251</v>
      </c>
      <c r="K68" s="1699" t="s">
        <v>3097</v>
      </c>
      <c r="L68" s="1639" t="s">
        <v>903</v>
      </c>
      <c r="M68" s="1639" t="s">
        <v>1571</v>
      </c>
      <c r="N68" s="1638" t="s">
        <v>612</v>
      </c>
      <c r="O68" s="1638" t="s">
        <v>1568</v>
      </c>
      <c r="P68" s="1637" t="s">
        <v>612</v>
      </c>
      <c r="Q68" s="1637" t="s">
        <v>612</v>
      </c>
      <c r="R68" s="1637" t="s">
        <v>1568</v>
      </c>
      <c r="S68" s="1637" t="s">
        <v>2252</v>
      </c>
      <c r="T68" s="1637" t="s">
        <v>3544</v>
      </c>
    </row>
    <row r="69" spans="1:20" ht="151.5" customHeight="1">
      <c r="A69" s="1803"/>
      <c r="B69" s="1890"/>
      <c r="C69" s="1936"/>
      <c r="D69" s="730" t="s">
        <v>1321</v>
      </c>
      <c r="E69" s="731">
        <f>E68</f>
        <v>2.9</v>
      </c>
      <c r="F69" s="731">
        <f t="shared" ref="F69:G69" si="29">F68</f>
        <v>2.9</v>
      </c>
      <c r="G69" s="731">
        <f t="shared" si="29"/>
        <v>0.88600000000000001</v>
      </c>
      <c r="H69" s="1045">
        <f t="shared" si="28"/>
        <v>0.30551724137931036</v>
      </c>
      <c r="I69" s="731">
        <f t="shared" ref="I69" si="30">I68</f>
        <v>2</v>
      </c>
      <c r="J69" s="1702"/>
      <c r="K69" s="1700"/>
      <c r="L69" s="1646"/>
      <c r="M69" s="1646"/>
      <c r="N69" s="1639"/>
      <c r="O69" s="1639"/>
      <c r="P69" s="1639"/>
      <c r="Q69" s="1639"/>
      <c r="R69" s="1639"/>
      <c r="S69" s="1639"/>
      <c r="T69" s="1639"/>
    </row>
    <row r="70" spans="1:20" ht="28.5" customHeight="1">
      <c r="A70" s="1803" t="s">
        <v>2021</v>
      </c>
      <c r="B70" s="1889" t="s">
        <v>1415</v>
      </c>
      <c r="C70" s="1935">
        <v>188711925</v>
      </c>
      <c r="D70" s="724" t="s">
        <v>668</v>
      </c>
      <c r="E70" s="701">
        <v>56</v>
      </c>
      <c r="F70" s="701">
        <v>56</v>
      </c>
      <c r="G70" s="701">
        <v>32.194000000000003</v>
      </c>
      <c r="H70" s="1043">
        <f t="shared" si="28"/>
        <v>0.57489285714285721</v>
      </c>
      <c r="I70" s="701">
        <v>45</v>
      </c>
      <c r="J70" s="1701" t="s">
        <v>2253</v>
      </c>
      <c r="K70" s="1699" t="s">
        <v>1749</v>
      </c>
      <c r="L70" s="1639" t="s">
        <v>3515</v>
      </c>
      <c r="M70" s="1639" t="s">
        <v>1572</v>
      </c>
      <c r="N70" s="1637" t="s">
        <v>566</v>
      </c>
      <c r="O70" s="1637" t="s">
        <v>566</v>
      </c>
      <c r="P70" s="1637" t="s">
        <v>208</v>
      </c>
      <c r="Q70" s="1637" t="s">
        <v>208</v>
      </c>
      <c r="R70" s="1637" t="s">
        <v>613</v>
      </c>
      <c r="S70" s="1637" t="s">
        <v>2254</v>
      </c>
      <c r="T70" s="1637" t="s">
        <v>3544</v>
      </c>
    </row>
    <row r="71" spans="1:20" ht="23.5" customHeight="1">
      <c r="A71" s="1803"/>
      <c r="B71" s="1890"/>
      <c r="C71" s="1936"/>
      <c r="D71" s="730" t="s">
        <v>1321</v>
      </c>
      <c r="E71" s="731">
        <f>E70</f>
        <v>56</v>
      </c>
      <c r="F71" s="731">
        <f t="shared" ref="F71:G71" si="31">F70</f>
        <v>56</v>
      </c>
      <c r="G71" s="731">
        <f t="shared" si="31"/>
        <v>32.194000000000003</v>
      </c>
      <c r="H71" s="1045">
        <f t="shared" si="28"/>
        <v>0.57489285714285721</v>
      </c>
      <c r="I71" s="731">
        <f t="shared" ref="I71" si="32">I70</f>
        <v>45</v>
      </c>
      <c r="J71" s="1702"/>
      <c r="K71" s="1700"/>
      <c r="L71" s="1646"/>
      <c r="M71" s="1646"/>
      <c r="N71" s="1639"/>
      <c r="O71" s="1639"/>
      <c r="P71" s="1639"/>
      <c r="Q71" s="1639"/>
      <c r="R71" s="1639"/>
      <c r="S71" s="1639"/>
      <c r="T71" s="1639"/>
    </row>
    <row r="72" spans="1:20" ht="38.25" customHeight="1">
      <c r="A72" s="501" t="s">
        <v>2022</v>
      </c>
      <c r="B72" s="496" t="s">
        <v>2023</v>
      </c>
      <c r="C72" s="501"/>
      <c r="D72" s="501"/>
      <c r="E72" s="502">
        <f>SUM(E74,E76,)</f>
        <v>35.26</v>
      </c>
      <c r="F72" s="502">
        <f t="shared" ref="F72:G72" si="33">SUM(F74,F76,)</f>
        <v>23.169</v>
      </c>
      <c r="G72" s="502">
        <f t="shared" si="33"/>
        <v>21.786000000000001</v>
      </c>
      <c r="H72" s="1042">
        <f t="shared" si="28"/>
        <v>0.94030817040010362</v>
      </c>
      <c r="I72" s="502">
        <f>SUM(I74,I76,)</f>
        <v>9.2210000000000001</v>
      </c>
      <c r="J72" s="689" t="s">
        <v>1220</v>
      </c>
      <c r="K72" s="1653"/>
      <c r="L72" s="1654"/>
      <c r="M72" s="1654"/>
      <c r="N72" s="1654"/>
      <c r="O72" s="1654"/>
      <c r="P72" s="1654"/>
      <c r="Q72" s="1654"/>
      <c r="R72" s="1654"/>
      <c r="S72" s="1654"/>
      <c r="T72" s="1919"/>
    </row>
    <row r="73" spans="1:20" ht="29.25" customHeight="1">
      <c r="A73" s="1767" t="s">
        <v>2024</v>
      </c>
      <c r="B73" s="1895" t="s">
        <v>3657</v>
      </c>
      <c r="C73" s="1937">
        <v>188711925</v>
      </c>
      <c r="D73" s="733" t="s">
        <v>668</v>
      </c>
      <c r="E73" s="734">
        <v>3</v>
      </c>
      <c r="F73" s="734">
        <v>3</v>
      </c>
      <c r="G73" s="734">
        <v>3</v>
      </c>
      <c r="H73" s="702">
        <f t="shared" si="28"/>
        <v>1</v>
      </c>
      <c r="I73" s="734">
        <v>3</v>
      </c>
      <c r="J73" s="1701" t="s">
        <v>2255</v>
      </c>
      <c r="K73" s="1642" t="s">
        <v>3656</v>
      </c>
      <c r="L73" s="1639" t="s">
        <v>3516</v>
      </c>
      <c r="M73" s="1639" t="s">
        <v>2902</v>
      </c>
      <c r="N73" s="1637" t="s">
        <v>551</v>
      </c>
      <c r="O73" s="1637" t="s">
        <v>1540</v>
      </c>
      <c r="P73" s="1639" t="s">
        <v>551</v>
      </c>
      <c r="Q73" s="1639" t="s">
        <v>551</v>
      </c>
      <c r="R73" s="1639" t="s">
        <v>551</v>
      </c>
      <c r="S73" s="1637" t="s">
        <v>509</v>
      </c>
      <c r="T73" s="1637" t="s">
        <v>3544</v>
      </c>
    </row>
    <row r="74" spans="1:20" ht="106.95" customHeight="1">
      <c r="A74" s="1765"/>
      <c r="B74" s="1890"/>
      <c r="C74" s="1936"/>
      <c r="D74" s="727" t="s">
        <v>1321</v>
      </c>
      <c r="E74" s="706">
        <f>E73</f>
        <v>3</v>
      </c>
      <c r="F74" s="706">
        <f t="shared" ref="F74:G74" si="34">F73</f>
        <v>3</v>
      </c>
      <c r="G74" s="706">
        <f t="shared" si="34"/>
        <v>3</v>
      </c>
      <c r="H74" s="707">
        <f t="shared" si="28"/>
        <v>1</v>
      </c>
      <c r="I74" s="706">
        <f t="shared" ref="I74" si="35">I73</f>
        <v>3</v>
      </c>
      <c r="J74" s="1882"/>
      <c r="K74" s="1708"/>
      <c r="L74" s="1646"/>
      <c r="M74" s="1646"/>
      <c r="N74" s="1639"/>
      <c r="O74" s="1639"/>
      <c r="P74" s="1646"/>
      <c r="Q74" s="1646"/>
      <c r="R74" s="1646"/>
      <c r="S74" s="1638"/>
      <c r="T74" s="1639"/>
    </row>
    <row r="75" spans="1:20" ht="48" customHeight="1">
      <c r="A75" s="1816" t="s">
        <v>2835</v>
      </c>
      <c r="B75" s="1691" t="s">
        <v>2793</v>
      </c>
      <c r="C75" s="1969">
        <v>188711925</v>
      </c>
      <c r="D75" s="761" t="s">
        <v>341</v>
      </c>
      <c r="E75" s="701">
        <v>32.26</v>
      </c>
      <c r="F75" s="701">
        <v>20.169</v>
      </c>
      <c r="G75" s="701">
        <v>18.786000000000001</v>
      </c>
      <c r="H75" s="1043">
        <f t="shared" si="28"/>
        <v>0.93142942138926077</v>
      </c>
      <c r="I75" s="701">
        <v>6.2210000000000001</v>
      </c>
      <c r="J75" s="1882"/>
      <c r="K75" s="1640" t="s">
        <v>3577</v>
      </c>
      <c r="L75" s="1646" t="s">
        <v>3517</v>
      </c>
      <c r="M75" s="1197" t="s">
        <v>1555</v>
      </c>
      <c r="N75" s="638" t="s">
        <v>1561</v>
      </c>
      <c r="O75" s="1197" t="s">
        <v>613</v>
      </c>
      <c r="P75" s="638" t="s">
        <v>1561</v>
      </c>
      <c r="Q75" s="1646"/>
      <c r="R75" s="1646"/>
      <c r="S75" s="1638"/>
      <c r="T75" s="1637" t="s">
        <v>3626</v>
      </c>
    </row>
    <row r="76" spans="1:20" ht="20.149999999999999" customHeight="1">
      <c r="A76" s="1816"/>
      <c r="B76" s="1691"/>
      <c r="C76" s="1969"/>
      <c r="D76" s="1977" t="s">
        <v>1321</v>
      </c>
      <c r="E76" s="1963">
        <f>E75</f>
        <v>32.26</v>
      </c>
      <c r="F76" s="1963">
        <f t="shared" ref="F76:G76" si="36">F75</f>
        <v>20.169</v>
      </c>
      <c r="G76" s="1963">
        <f t="shared" si="36"/>
        <v>18.786000000000001</v>
      </c>
      <c r="H76" s="1988">
        <f t="shared" si="28"/>
        <v>0.93142942138926077</v>
      </c>
      <c r="I76" s="1963">
        <f t="shared" ref="I76" si="37">I75</f>
        <v>6.2210000000000001</v>
      </c>
      <c r="J76" s="1882"/>
      <c r="K76" s="1642"/>
      <c r="L76" s="1646"/>
      <c r="M76" s="1197" t="s">
        <v>1556</v>
      </c>
      <c r="N76" s="638" t="s">
        <v>1562</v>
      </c>
      <c r="O76" s="1197" t="s">
        <v>613</v>
      </c>
      <c r="P76" s="638" t="s">
        <v>1562</v>
      </c>
      <c r="Q76" s="1646"/>
      <c r="R76" s="1646"/>
      <c r="S76" s="1638"/>
      <c r="T76" s="1638"/>
    </row>
    <row r="77" spans="1:20" ht="20.149999999999999" customHeight="1">
      <c r="A77" s="1816"/>
      <c r="B77" s="1691"/>
      <c r="C77" s="1969"/>
      <c r="D77" s="1978"/>
      <c r="E77" s="1979"/>
      <c r="F77" s="1979"/>
      <c r="G77" s="1979"/>
      <c r="H77" s="1989" t="e">
        <f t="shared" si="18"/>
        <v>#DIV/0!</v>
      </c>
      <c r="I77" s="1979"/>
      <c r="J77" s="1882"/>
      <c r="K77" s="1642"/>
      <c r="L77" s="1646"/>
      <c r="M77" s="638" t="s">
        <v>1557</v>
      </c>
      <c r="N77" s="638" t="s">
        <v>1563</v>
      </c>
      <c r="O77" s="638" t="s">
        <v>613</v>
      </c>
      <c r="P77" s="638" t="s">
        <v>1563</v>
      </c>
      <c r="Q77" s="638"/>
      <c r="R77" s="638"/>
      <c r="S77" s="1638"/>
      <c r="T77" s="1638"/>
    </row>
    <row r="78" spans="1:20" ht="39.65" customHeight="1">
      <c r="A78" s="1816"/>
      <c r="B78" s="1691"/>
      <c r="C78" s="1969"/>
      <c r="D78" s="1978"/>
      <c r="E78" s="1979"/>
      <c r="F78" s="1979"/>
      <c r="G78" s="1979"/>
      <c r="H78" s="1989" t="e">
        <f t="shared" si="18"/>
        <v>#DIV/0!</v>
      </c>
      <c r="I78" s="1979"/>
      <c r="J78" s="1882"/>
      <c r="K78" s="1642"/>
      <c r="L78" s="1646"/>
      <c r="M78" s="638" t="s">
        <v>1558</v>
      </c>
      <c r="N78" s="638" t="s">
        <v>1564</v>
      </c>
      <c r="O78" s="638" t="s">
        <v>613</v>
      </c>
      <c r="P78" s="638" t="s">
        <v>1564</v>
      </c>
      <c r="Q78" s="638"/>
      <c r="R78" s="638"/>
      <c r="S78" s="1638"/>
      <c r="T78" s="1638"/>
    </row>
    <row r="79" spans="1:20" ht="32.5" customHeight="1">
      <c r="A79" s="1816"/>
      <c r="B79" s="1691"/>
      <c r="C79" s="1969"/>
      <c r="D79" s="1978"/>
      <c r="E79" s="1979"/>
      <c r="F79" s="1979"/>
      <c r="G79" s="1979"/>
      <c r="H79" s="1989" t="e">
        <f t="shared" si="18"/>
        <v>#DIV/0!</v>
      </c>
      <c r="I79" s="1979"/>
      <c r="J79" s="1882"/>
      <c r="K79" s="1642"/>
      <c r="L79" s="1646"/>
      <c r="M79" s="638" t="s">
        <v>1559</v>
      </c>
      <c r="N79" s="638" t="s">
        <v>1565</v>
      </c>
      <c r="O79" s="638" t="s">
        <v>613</v>
      </c>
      <c r="P79" s="638" t="s">
        <v>1565</v>
      </c>
      <c r="Q79" s="638"/>
      <c r="R79" s="638"/>
      <c r="S79" s="1638"/>
      <c r="T79" s="1638"/>
    </row>
    <row r="80" spans="1:20" ht="45" customHeight="1">
      <c r="A80" s="1816"/>
      <c r="B80" s="1691"/>
      <c r="C80" s="1969"/>
      <c r="D80" s="1978"/>
      <c r="E80" s="1979"/>
      <c r="F80" s="1979"/>
      <c r="G80" s="1979"/>
      <c r="H80" s="1990" t="e">
        <f t="shared" si="18"/>
        <v>#DIV/0!</v>
      </c>
      <c r="I80" s="1979"/>
      <c r="J80" s="1702"/>
      <c r="K80" s="1642"/>
      <c r="L80" s="1646"/>
      <c r="M80" s="638" t="s">
        <v>1560</v>
      </c>
      <c r="N80" s="638" t="s">
        <v>1566</v>
      </c>
      <c r="O80" s="638" t="s">
        <v>613</v>
      </c>
      <c r="P80" s="638" t="s">
        <v>1566</v>
      </c>
      <c r="Q80" s="638"/>
      <c r="R80" s="638"/>
      <c r="S80" s="1639"/>
      <c r="T80" s="1639"/>
    </row>
    <row r="81" spans="1:20" ht="47.5" hidden="1" customHeight="1">
      <c r="A81" s="501" t="s">
        <v>2025</v>
      </c>
      <c r="B81" s="496" t="s">
        <v>2026</v>
      </c>
      <c r="C81" s="501"/>
      <c r="D81" s="501"/>
      <c r="E81" s="698">
        <f>SUM(E83)</f>
        <v>0</v>
      </c>
      <c r="F81" s="698"/>
      <c r="G81" s="698"/>
      <c r="H81" s="1195" t="e">
        <f t="shared" si="18"/>
        <v>#DIV/0!</v>
      </c>
      <c r="I81" s="502">
        <f t="shared" ref="I81" si="38">SUM(I83)</f>
        <v>1.5</v>
      </c>
      <c r="J81" s="502" t="s">
        <v>1205</v>
      </c>
      <c r="K81" s="1537"/>
      <c r="L81" s="689" t="s">
        <v>2836</v>
      </c>
      <c r="M81" s="689" t="s">
        <v>2256</v>
      </c>
      <c r="N81" s="689"/>
      <c r="O81" s="689"/>
      <c r="P81" s="689" t="s">
        <v>613</v>
      </c>
      <c r="Q81" s="689" t="s">
        <v>469</v>
      </c>
      <c r="R81" s="689" t="s">
        <v>469</v>
      </c>
      <c r="S81" s="689" t="s">
        <v>1207</v>
      </c>
      <c r="T81" s="1189"/>
    </row>
    <row r="82" spans="1:20" ht="32.5" hidden="1" customHeight="1">
      <c r="A82" s="1767" t="s">
        <v>2379</v>
      </c>
      <c r="B82" s="1895" t="s">
        <v>2698</v>
      </c>
      <c r="C82" s="1937">
        <v>188711925</v>
      </c>
      <c r="D82" s="733" t="s">
        <v>668</v>
      </c>
      <c r="E82" s="1114">
        <v>0</v>
      </c>
      <c r="F82" s="1114"/>
      <c r="G82" s="1114"/>
      <c r="H82" s="1195" t="e">
        <f t="shared" si="18"/>
        <v>#DIV/0!</v>
      </c>
      <c r="I82" s="734">
        <v>1.5</v>
      </c>
      <c r="J82" s="1701" t="s">
        <v>2257</v>
      </c>
      <c r="K82" s="1642" t="s">
        <v>1909</v>
      </c>
      <c r="L82" s="1639" t="s">
        <v>2837</v>
      </c>
      <c r="M82" s="1639" t="s">
        <v>1571</v>
      </c>
      <c r="N82" s="1637"/>
      <c r="O82" s="1637"/>
      <c r="P82" s="1639" t="s">
        <v>612</v>
      </c>
      <c r="Q82" s="1639" t="s">
        <v>1568</v>
      </c>
      <c r="R82" s="1639" t="s">
        <v>1531</v>
      </c>
      <c r="S82" s="1637" t="s">
        <v>2258</v>
      </c>
      <c r="T82" s="1189"/>
    </row>
    <row r="83" spans="1:20" ht="26.25" hidden="1" customHeight="1">
      <c r="A83" s="1765"/>
      <c r="B83" s="1890"/>
      <c r="C83" s="1936"/>
      <c r="D83" s="727" t="s">
        <v>1321</v>
      </c>
      <c r="E83" s="1106">
        <f>E82</f>
        <v>0</v>
      </c>
      <c r="F83" s="1106"/>
      <c r="G83" s="1106"/>
      <c r="H83" s="1195" t="e">
        <f t="shared" si="18"/>
        <v>#DIV/0!</v>
      </c>
      <c r="I83" s="706">
        <f t="shared" ref="I83" si="39">I82</f>
        <v>1.5</v>
      </c>
      <c r="J83" s="1702"/>
      <c r="K83" s="1708"/>
      <c r="L83" s="1646"/>
      <c r="M83" s="1646"/>
      <c r="N83" s="1639"/>
      <c r="O83" s="1639"/>
      <c r="P83" s="1646"/>
      <c r="Q83" s="1646"/>
      <c r="R83" s="1646"/>
      <c r="S83" s="1639"/>
      <c r="T83" s="1189"/>
    </row>
    <row r="84" spans="1:20" ht="66" customHeight="1">
      <c r="A84" s="1697"/>
      <c r="B84" s="1697"/>
      <c r="C84" s="1697"/>
      <c r="D84" s="1697"/>
      <c r="E84" s="640" t="s">
        <v>2857</v>
      </c>
      <c r="F84" s="640" t="s">
        <v>2856</v>
      </c>
      <c r="G84" s="640" t="s">
        <v>2869</v>
      </c>
      <c r="H84" s="1198" t="s">
        <v>2870</v>
      </c>
      <c r="I84" s="807" t="str">
        <f>I15</f>
        <v>2024  m.asignavimai ir kitos lėšos, tūkst. Eur</v>
      </c>
      <c r="J84" s="1081"/>
      <c r="K84" s="1518"/>
      <c r="L84" s="1082"/>
      <c r="M84" s="1082"/>
      <c r="N84" s="1082"/>
      <c r="O84" s="1872"/>
      <c r="P84" s="1872"/>
      <c r="Q84" s="1872"/>
      <c r="R84" s="1872"/>
      <c r="S84" s="1872"/>
      <c r="T84" s="1873"/>
    </row>
    <row r="85" spans="1:20" ht="26.25" customHeight="1">
      <c r="A85" s="1984" t="s">
        <v>986</v>
      </c>
      <c r="B85" s="1985"/>
      <c r="C85" s="1985"/>
      <c r="D85" s="1987"/>
      <c r="E85" s="729">
        <f>E86+E87+E88+E89+E90+E91</f>
        <v>300.09199999999998</v>
      </c>
      <c r="F85" s="729">
        <f>F86+F87+F88+F89+F90+F91</f>
        <v>273.46899999999999</v>
      </c>
      <c r="G85" s="729">
        <f t="shared" ref="G85" si="40">G86+G87+G88+G89+G90+G91</f>
        <v>193.51</v>
      </c>
      <c r="H85" s="1043">
        <f>G85/F85</f>
        <v>0.70761219736057834</v>
      </c>
      <c r="I85" s="729" t="e">
        <f>SUM(I86,I87,I88,I89,I90,I91,)</f>
        <v>#REF!</v>
      </c>
      <c r="J85" s="809"/>
      <c r="K85" s="1538"/>
      <c r="L85" s="1199"/>
      <c r="M85" s="1199"/>
      <c r="N85" s="1199"/>
      <c r="O85" s="1199"/>
      <c r="P85" s="1199"/>
      <c r="Q85" s="1199"/>
      <c r="R85" s="1199"/>
      <c r="S85" s="1199"/>
      <c r="T85" s="1200"/>
    </row>
    <row r="86" spans="1:20" ht="33" customHeight="1">
      <c r="A86" s="1981" t="s">
        <v>2867</v>
      </c>
      <c r="B86" s="1982"/>
      <c r="C86" s="1982"/>
      <c r="D86" s="1983"/>
      <c r="E86" s="701">
        <f>SUM(E18,E25,E40,E42,E44,E49,E51,E53,E57,E60,E65,E68,E70,E73,)</f>
        <v>253.3</v>
      </c>
      <c r="F86" s="701">
        <f>SUM(F18,F25,F40,F42,F44,F49,F51,F53,F57,F60,F65,F68,F70,F73,)</f>
        <v>253.3</v>
      </c>
      <c r="G86" s="701">
        <f>SUM(G18,G25,G40,G42,G44,G49,G51,G53,G57,G60,G65,G68,G70,G73,)</f>
        <v>174.72399999999999</v>
      </c>
      <c r="H86" s="1043">
        <f>G86/F86</f>
        <v>0.68979076194236078</v>
      </c>
      <c r="I86" s="701">
        <f>SUM(I18,I25,I40,I44,I49,I51,I53,I57,I60,I65,I68,I70,I73,I46,I82)</f>
        <v>301.72000000000003</v>
      </c>
      <c r="J86" s="742"/>
      <c r="K86" s="1504"/>
      <c r="L86" s="478"/>
      <c r="M86" s="478"/>
      <c r="N86" s="478"/>
      <c r="O86" s="478"/>
      <c r="P86" s="478"/>
      <c r="Q86" s="478"/>
      <c r="R86" s="478"/>
      <c r="S86" s="478"/>
      <c r="T86" s="1200"/>
    </row>
    <row r="87" spans="1:20" ht="28.95" customHeight="1">
      <c r="A87" s="1981" t="s">
        <v>988</v>
      </c>
      <c r="B87" s="1982"/>
      <c r="C87" s="1982"/>
      <c r="D87" s="1983"/>
      <c r="E87" s="701">
        <f>SUM(E26)</f>
        <v>14.532</v>
      </c>
      <c r="F87" s="701">
        <f>SUM(F26)</f>
        <v>0</v>
      </c>
      <c r="G87" s="701">
        <f>SUM(G26)</f>
        <v>0</v>
      </c>
      <c r="H87" s="1043"/>
      <c r="I87" s="701">
        <f>SUM(I26)</f>
        <v>14.015000000000001</v>
      </c>
      <c r="J87" s="742"/>
      <c r="K87" s="1504"/>
      <c r="L87" s="478"/>
      <c r="M87" s="478"/>
      <c r="N87" s="478"/>
      <c r="O87" s="478"/>
      <c r="P87" s="478"/>
      <c r="Q87" s="478"/>
      <c r="R87" s="478"/>
      <c r="S87" s="478"/>
      <c r="T87" s="1200"/>
    </row>
    <row r="88" spans="1:20" ht="28.95" hidden="1" customHeight="1">
      <c r="A88" s="1981" t="s">
        <v>989</v>
      </c>
      <c r="B88" s="1982"/>
      <c r="C88" s="1982"/>
      <c r="D88" s="1983"/>
      <c r="E88" s="701">
        <v>0</v>
      </c>
      <c r="F88" s="701">
        <v>0</v>
      </c>
      <c r="G88" s="701">
        <v>0</v>
      </c>
      <c r="H88" s="1043"/>
      <c r="I88" s="701">
        <v>0</v>
      </c>
      <c r="J88" s="742"/>
      <c r="K88" s="1504"/>
      <c r="L88" s="478"/>
      <c r="M88" s="478"/>
      <c r="N88" s="478"/>
      <c r="O88" s="478"/>
      <c r="P88" s="478"/>
      <c r="Q88" s="478"/>
      <c r="R88" s="478"/>
      <c r="S88" s="478"/>
      <c r="T88" s="1200"/>
    </row>
    <row r="89" spans="1:20" ht="30.65" customHeight="1">
      <c r="A89" s="1981" t="s">
        <v>2695</v>
      </c>
      <c r="B89" s="1982"/>
      <c r="C89" s="1982"/>
      <c r="D89" s="1983"/>
      <c r="E89" s="701">
        <f>SUM(E75)</f>
        <v>32.26</v>
      </c>
      <c r="F89" s="701">
        <f>SUM(F75)</f>
        <v>20.169</v>
      </c>
      <c r="G89" s="701">
        <f t="shared" ref="G89" si="41">SUM(G75)</f>
        <v>18.786000000000001</v>
      </c>
      <c r="H89" s="1043">
        <f>G89/F89</f>
        <v>0.93142942138926077</v>
      </c>
      <c r="I89" s="701">
        <f>SUM(I75)</f>
        <v>6.2210000000000001</v>
      </c>
      <c r="J89" s="742"/>
      <c r="K89" s="1504"/>
      <c r="L89" s="478"/>
      <c r="M89" s="478"/>
      <c r="N89" s="478"/>
      <c r="O89" s="478"/>
      <c r="P89" s="478"/>
      <c r="Q89" s="478"/>
      <c r="R89" s="478"/>
      <c r="S89" s="478"/>
      <c r="T89" s="1200"/>
    </row>
    <row r="90" spans="1:20" ht="24.75" customHeight="1">
      <c r="A90" s="1981" t="s">
        <v>990</v>
      </c>
      <c r="B90" s="1982"/>
      <c r="C90" s="1982"/>
      <c r="D90" s="1983"/>
      <c r="E90" s="701">
        <v>0</v>
      </c>
      <c r="F90" s="701">
        <v>0</v>
      </c>
      <c r="G90" s="701">
        <v>0</v>
      </c>
      <c r="H90" s="1043"/>
      <c r="I90" s="701">
        <v>0</v>
      </c>
      <c r="J90" s="742"/>
      <c r="K90" s="1504"/>
      <c r="L90" s="478"/>
      <c r="M90" s="478"/>
      <c r="N90" s="478"/>
      <c r="O90" s="478"/>
      <c r="P90" s="478"/>
      <c r="Q90" s="478"/>
      <c r="R90" s="478"/>
      <c r="S90" s="478"/>
      <c r="T90" s="1200"/>
    </row>
    <row r="91" spans="1:20" ht="27" hidden="1" customHeight="1">
      <c r="A91" s="1981" t="s">
        <v>991</v>
      </c>
      <c r="B91" s="1982"/>
      <c r="C91" s="1982"/>
      <c r="D91" s="1983"/>
      <c r="E91" s="701">
        <v>0</v>
      </c>
      <c r="F91" s="701">
        <v>0</v>
      </c>
      <c r="G91" s="701">
        <v>0</v>
      </c>
      <c r="H91" s="1043"/>
      <c r="I91" s="701" t="e">
        <f>SUM(I42,#REF!,#REF!)</f>
        <v>#REF!</v>
      </c>
      <c r="J91" s="742"/>
      <c r="K91" s="1504"/>
      <c r="L91" s="478"/>
      <c r="M91" s="478"/>
      <c r="N91" s="478"/>
      <c r="O91" s="478"/>
      <c r="P91" s="478"/>
      <c r="Q91" s="478"/>
      <c r="R91" s="478"/>
      <c r="S91" s="478"/>
      <c r="T91" s="1200"/>
    </row>
    <row r="92" spans="1:20" ht="30" customHeight="1">
      <c r="A92" s="1984" t="s">
        <v>992</v>
      </c>
      <c r="B92" s="1985"/>
      <c r="C92" s="1985"/>
      <c r="D92" s="1986"/>
      <c r="E92" s="1039">
        <v>0</v>
      </c>
      <c r="F92" s="1039">
        <v>0</v>
      </c>
      <c r="G92" s="1039">
        <v>0</v>
      </c>
      <c r="H92" s="1043"/>
      <c r="I92" s="1039">
        <v>0</v>
      </c>
      <c r="J92" s="742"/>
      <c r="K92" s="1504"/>
      <c r="L92" s="478"/>
      <c r="M92" s="478"/>
      <c r="N92" s="478"/>
      <c r="O92" s="478"/>
      <c r="P92" s="478"/>
      <c r="Q92" s="478"/>
      <c r="R92" s="478"/>
      <c r="S92" s="478"/>
      <c r="T92" s="1200"/>
    </row>
    <row r="93" spans="1:20" ht="35.5" customHeight="1">
      <c r="A93" s="1984" t="s">
        <v>1334</v>
      </c>
      <c r="B93" s="1985"/>
      <c r="C93" s="1985"/>
      <c r="D93" s="1987"/>
      <c r="E93" s="703">
        <f>SUM(E85,E92)</f>
        <v>300.09199999999998</v>
      </c>
      <c r="F93" s="703">
        <f>SUM(F85,F92)</f>
        <v>273.46899999999999</v>
      </c>
      <c r="G93" s="703">
        <f t="shared" ref="G93" si="42">SUM(G85,G92)</f>
        <v>193.51</v>
      </c>
      <c r="H93" s="1201">
        <f>G93/F93</f>
        <v>0.70761219736057834</v>
      </c>
      <c r="I93" s="703" t="e">
        <f>SUM(I85,I92)</f>
        <v>#REF!</v>
      </c>
      <c r="J93" s="809"/>
      <c r="K93" s="1504"/>
      <c r="L93" s="478"/>
      <c r="M93" s="478"/>
      <c r="N93" s="478"/>
      <c r="O93" s="478"/>
      <c r="P93" s="478"/>
      <c r="Q93" s="478"/>
      <c r="R93" s="478"/>
      <c r="S93" s="478"/>
      <c r="T93" s="1200"/>
    </row>
    <row r="94" spans="1:20" ht="24.75" hidden="1" customHeight="1">
      <c r="A94" s="1984" t="s">
        <v>1948</v>
      </c>
      <c r="B94" s="1985"/>
      <c r="C94" s="1985"/>
      <c r="D94" s="1987"/>
      <c r="E94" s="432">
        <v>0</v>
      </c>
      <c r="F94" s="432">
        <v>0</v>
      </c>
      <c r="G94" s="432">
        <v>0</v>
      </c>
      <c r="H94" s="509"/>
      <c r="I94" s="432">
        <v>0</v>
      </c>
      <c r="J94" s="456"/>
      <c r="K94" s="1504"/>
      <c r="L94" s="437"/>
      <c r="M94" s="437"/>
      <c r="N94" s="437"/>
      <c r="O94" s="437"/>
      <c r="P94" s="457"/>
      <c r="Q94" s="457"/>
      <c r="R94" s="457"/>
      <c r="S94" s="437"/>
      <c r="T94" s="368"/>
    </row>
    <row r="95" spans="1:20" ht="40.950000000000003" hidden="1" customHeight="1">
      <c r="A95" s="1984" t="s">
        <v>993</v>
      </c>
      <c r="B95" s="1985"/>
      <c r="C95" s="1985"/>
      <c r="D95" s="1987"/>
      <c r="E95" s="492">
        <v>0</v>
      </c>
      <c r="F95" s="492">
        <v>0</v>
      </c>
      <c r="G95" s="492">
        <v>0</v>
      </c>
      <c r="H95" s="491" t="e">
        <f t="shared" si="18"/>
        <v>#DIV/0!</v>
      </c>
      <c r="I95" s="455" t="e">
        <f>I93/E93-1</f>
        <v>#REF!</v>
      </c>
      <c r="J95" s="456"/>
      <c r="K95" s="1504"/>
      <c r="L95" s="437"/>
      <c r="M95" s="437"/>
      <c r="N95" s="437"/>
      <c r="O95" s="437"/>
      <c r="P95" s="457"/>
      <c r="Q95" s="457"/>
      <c r="R95" s="457"/>
      <c r="S95" s="437"/>
      <c r="T95" s="368"/>
    </row>
    <row r="96" spans="1:20">
      <c r="E96" s="368"/>
      <c r="F96" s="368"/>
      <c r="G96" s="368"/>
      <c r="H96" s="368"/>
      <c r="T96" s="368"/>
    </row>
    <row r="97" spans="1:20">
      <c r="E97" s="368"/>
      <c r="F97" s="368"/>
      <c r="G97" s="368"/>
      <c r="H97" s="368"/>
      <c r="T97" s="368"/>
    </row>
    <row r="98" spans="1:20" ht="30.75" hidden="1" customHeight="1">
      <c r="A98" s="1976"/>
      <c r="B98" s="1976"/>
      <c r="C98" s="374"/>
      <c r="D98" s="392"/>
      <c r="E98" s="552">
        <v>253.3</v>
      </c>
      <c r="F98" s="392">
        <v>174.72399999999999</v>
      </c>
      <c r="G98" s="392"/>
      <c r="H98" s="392"/>
      <c r="I98" s="392">
        <v>400.45</v>
      </c>
      <c r="J98" s="392"/>
      <c r="T98" s="368"/>
    </row>
    <row r="99" spans="1:20" hidden="1">
      <c r="E99" s="383">
        <f>E98-F86</f>
        <v>0</v>
      </c>
      <c r="F99" s="1453">
        <f>G86-F98</f>
        <v>0</v>
      </c>
      <c r="G99" s="368"/>
      <c r="H99" s="368"/>
      <c r="I99" s="383" t="e">
        <f>I98-I86-I91</f>
        <v>#REF!</v>
      </c>
      <c r="T99" s="368"/>
    </row>
    <row r="100" spans="1:20" hidden="1">
      <c r="E100" s="368"/>
      <c r="F100" s="368"/>
      <c r="G100" s="368"/>
      <c r="H100" s="368"/>
      <c r="T100" s="368"/>
    </row>
    <row r="101" spans="1:20" hidden="1">
      <c r="E101" s="368"/>
      <c r="F101" s="368"/>
      <c r="G101" s="368"/>
      <c r="H101" s="368"/>
      <c r="T101" s="368"/>
    </row>
    <row r="102" spans="1:20">
      <c r="E102" s="368"/>
      <c r="F102" s="368"/>
      <c r="G102" s="368"/>
      <c r="H102" s="368"/>
      <c r="T102" s="368"/>
    </row>
    <row r="103" spans="1:20">
      <c r="E103" s="368"/>
      <c r="F103" s="368"/>
      <c r="G103" s="368"/>
      <c r="H103" s="368"/>
      <c r="T103" s="368"/>
    </row>
    <row r="104" spans="1:20">
      <c r="E104" s="368"/>
      <c r="F104" s="368"/>
      <c r="G104" s="368"/>
      <c r="H104" s="368"/>
      <c r="T104" s="368"/>
    </row>
    <row r="105" spans="1:20">
      <c r="E105" s="368"/>
      <c r="F105" s="368"/>
      <c r="G105" s="368"/>
      <c r="H105" s="368"/>
      <c r="T105" s="368"/>
    </row>
    <row r="106" spans="1:20">
      <c r="E106" s="368"/>
      <c r="F106" s="368"/>
      <c r="G106" s="368"/>
      <c r="H106" s="368"/>
      <c r="T106" s="368"/>
    </row>
    <row r="107" spans="1:20">
      <c r="E107" s="368"/>
      <c r="F107" s="368"/>
      <c r="G107" s="368"/>
      <c r="H107" s="368"/>
      <c r="T107" s="368"/>
    </row>
    <row r="108" spans="1:20">
      <c r="E108" s="368"/>
      <c r="F108" s="368"/>
      <c r="G108" s="368"/>
      <c r="H108" s="368"/>
      <c r="T108" s="368"/>
    </row>
    <row r="109" spans="1:20">
      <c r="E109" s="368"/>
      <c r="F109" s="368"/>
      <c r="G109" s="368"/>
      <c r="H109" s="368"/>
      <c r="T109" s="368"/>
    </row>
    <row r="110" spans="1:20">
      <c r="E110" s="368"/>
      <c r="F110" s="368"/>
      <c r="G110" s="368"/>
      <c r="H110" s="368"/>
      <c r="T110" s="368"/>
    </row>
    <row r="111" spans="1:20">
      <c r="E111" s="368"/>
      <c r="F111" s="368"/>
      <c r="G111" s="368"/>
      <c r="H111" s="368"/>
      <c r="T111" s="368"/>
    </row>
    <row r="112" spans="1:20">
      <c r="E112" s="368"/>
      <c r="F112" s="368"/>
      <c r="G112" s="368"/>
      <c r="H112" s="368"/>
      <c r="T112" s="368"/>
    </row>
    <row r="113" spans="11:18" s="368" customFormat="1">
      <c r="K113" s="1539"/>
      <c r="P113" s="461"/>
      <c r="Q113" s="461"/>
      <c r="R113" s="461"/>
    </row>
    <row r="114" spans="11:18" s="368" customFormat="1">
      <c r="K114" s="1539"/>
      <c r="P114" s="461"/>
      <c r="Q114" s="461"/>
      <c r="R114" s="461"/>
    </row>
    <row r="115" spans="11:18" s="368" customFormat="1">
      <c r="K115" s="1539"/>
      <c r="P115" s="461"/>
      <c r="Q115" s="461"/>
      <c r="R115" s="461"/>
    </row>
    <row r="116" spans="11:18" s="368" customFormat="1">
      <c r="K116" s="1539"/>
      <c r="P116" s="461"/>
      <c r="Q116" s="461"/>
      <c r="R116" s="461"/>
    </row>
    <row r="117" spans="11:18" s="368" customFormat="1">
      <c r="K117" s="1539"/>
      <c r="P117" s="461"/>
      <c r="Q117" s="461"/>
      <c r="R117" s="461"/>
    </row>
    <row r="118" spans="11:18" s="368" customFormat="1">
      <c r="K118" s="1539"/>
      <c r="P118" s="461"/>
      <c r="Q118" s="461"/>
      <c r="R118" s="461"/>
    </row>
    <row r="119" spans="11:18" s="368" customFormat="1">
      <c r="K119" s="1539"/>
      <c r="P119" s="461"/>
      <c r="Q119" s="461"/>
      <c r="R119" s="461"/>
    </row>
    <row r="120" spans="11:18" s="368" customFormat="1">
      <c r="K120" s="1539"/>
      <c r="P120" s="461"/>
      <c r="Q120" s="461"/>
      <c r="R120" s="461"/>
    </row>
    <row r="121" spans="11:18" s="368" customFormat="1">
      <c r="K121" s="1539"/>
      <c r="P121" s="461"/>
      <c r="Q121" s="461"/>
      <c r="R121" s="461"/>
    </row>
    <row r="122" spans="11:18" s="368" customFormat="1">
      <c r="K122" s="1539"/>
      <c r="P122" s="461"/>
      <c r="Q122" s="461"/>
      <c r="R122" s="461"/>
    </row>
    <row r="123" spans="11:18" s="368" customFormat="1">
      <c r="K123" s="1539"/>
      <c r="P123" s="461"/>
      <c r="Q123" s="461"/>
      <c r="R123" s="461"/>
    </row>
    <row r="124" spans="11:18" s="368" customFormat="1">
      <c r="K124" s="1539"/>
      <c r="P124" s="461"/>
      <c r="Q124" s="461"/>
      <c r="R124" s="461"/>
    </row>
    <row r="125" spans="11:18" s="368" customFormat="1">
      <c r="K125" s="1539"/>
      <c r="P125" s="461"/>
      <c r="Q125" s="461"/>
      <c r="R125" s="461"/>
    </row>
    <row r="126" spans="11:18" s="368" customFormat="1">
      <c r="K126" s="1539"/>
      <c r="P126" s="461"/>
      <c r="Q126" s="461"/>
      <c r="R126" s="461"/>
    </row>
    <row r="127" spans="11:18" s="368" customFormat="1">
      <c r="K127" s="1539"/>
      <c r="P127" s="461"/>
      <c r="Q127" s="461"/>
      <c r="R127" s="461"/>
    </row>
    <row r="128" spans="11:18" s="368" customFormat="1">
      <c r="K128" s="1539"/>
      <c r="P128" s="461"/>
      <c r="Q128" s="461"/>
      <c r="R128" s="461"/>
    </row>
    <row r="129" spans="11:18" s="368" customFormat="1">
      <c r="K129" s="1539"/>
      <c r="P129" s="461"/>
      <c r="Q129" s="461"/>
      <c r="R129" s="461"/>
    </row>
    <row r="130" spans="11:18" s="368" customFormat="1">
      <c r="K130" s="1539"/>
      <c r="P130" s="461"/>
      <c r="Q130" s="461"/>
      <c r="R130" s="461"/>
    </row>
    <row r="131" spans="11:18" s="368" customFormat="1">
      <c r="K131" s="1539"/>
      <c r="P131" s="461"/>
      <c r="Q131" s="461"/>
      <c r="R131" s="461"/>
    </row>
    <row r="132" spans="11:18" s="368" customFormat="1">
      <c r="K132" s="1539"/>
      <c r="P132" s="461"/>
      <c r="Q132" s="461"/>
      <c r="R132" s="461"/>
    </row>
    <row r="133" spans="11:18" s="368" customFormat="1">
      <c r="K133" s="1539"/>
      <c r="P133" s="461"/>
      <c r="Q133" s="461"/>
      <c r="R133" s="461"/>
    </row>
    <row r="134" spans="11:18" s="368" customFormat="1">
      <c r="K134" s="1539"/>
      <c r="P134" s="461"/>
      <c r="Q134" s="461"/>
      <c r="R134" s="461"/>
    </row>
    <row r="135" spans="11:18" s="368" customFormat="1">
      <c r="K135" s="1539"/>
      <c r="P135" s="461"/>
      <c r="Q135" s="461"/>
      <c r="R135" s="461"/>
    </row>
    <row r="136" spans="11:18" s="368" customFormat="1">
      <c r="K136" s="1539"/>
      <c r="P136" s="461"/>
      <c r="Q136" s="461"/>
      <c r="R136" s="461"/>
    </row>
    <row r="137" spans="11:18" s="368" customFormat="1">
      <c r="K137" s="1539"/>
      <c r="P137" s="461"/>
      <c r="Q137" s="461"/>
      <c r="R137" s="461"/>
    </row>
    <row r="138" spans="11:18" s="368" customFormat="1">
      <c r="K138" s="1539"/>
      <c r="P138" s="461"/>
      <c r="Q138" s="461"/>
      <c r="R138" s="461"/>
    </row>
    <row r="139" spans="11:18" s="368" customFormat="1">
      <c r="K139" s="1539"/>
      <c r="P139" s="461"/>
      <c r="Q139" s="461"/>
      <c r="R139" s="461"/>
    </row>
    <row r="140" spans="11:18" s="368" customFormat="1">
      <c r="K140" s="1539"/>
      <c r="P140" s="461"/>
      <c r="Q140" s="461"/>
      <c r="R140" s="461"/>
    </row>
    <row r="141" spans="11:18" s="368" customFormat="1">
      <c r="K141" s="1539"/>
      <c r="P141" s="461"/>
      <c r="Q141" s="461"/>
      <c r="R141" s="461"/>
    </row>
    <row r="142" spans="11:18" s="368" customFormat="1">
      <c r="K142" s="1539"/>
      <c r="P142" s="461"/>
      <c r="Q142" s="461"/>
      <c r="R142" s="461"/>
    </row>
    <row r="143" spans="11:18" s="368" customFormat="1">
      <c r="K143" s="1539"/>
      <c r="P143" s="461"/>
      <c r="Q143" s="461"/>
      <c r="R143" s="461"/>
    </row>
    <row r="144" spans="11:18" s="368" customFormat="1">
      <c r="K144" s="1539"/>
      <c r="P144" s="461"/>
      <c r="Q144" s="461"/>
      <c r="R144" s="461"/>
    </row>
    <row r="145" spans="11:18" s="368" customFormat="1">
      <c r="K145" s="1539"/>
      <c r="P145" s="461"/>
      <c r="Q145" s="461"/>
      <c r="R145" s="461"/>
    </row>
    <row r="146" spans="11:18" s="368" customFormat="1">
      <c r="K146" s="1539"/>
      <c r="P146" s="461"/>
      <c r="Q146" s="461"/>
      <c r="R146" s="461"/>
    </row>
    <row r="147" spans="11:18" s="368" customFormat="1">
      <c r="K147" s="1539"/>
      <c r="P147" s="461"/>
      <c r="Q147" s="461"/>
      <c r="R147" s="461"/>
    </row>
    <row r="148" spans="11:18" s="368" customFormat="1">
      <c r="K148" s="1539"/>
      <c r="P148" s="461"/>
      <c r="Q148" s="461"/>
      <c r="R148" s="461"/>
    </row>
    <row r="149" spans="11:18" s="368" customFormat="1">
      <c r="K149" s="1539"/>
      <c r="P149" s="461"/>
      <c r="Q149" s="461"/>
      <c r="R149" s="461"/>
    </row>
    <row r="150" spans="11:18" s="368" customFormat="1">
      <c r="K150" s="1539"/>
      <c r="P150" s="461"/>
      <c r="Q150" s="461"/>
      <c r="R150" s="461"/>
    </row>
    <row r="151" spans="11:18" s="368" customFormat="1">
      <c r="K151" s="1539"/>
      <c r="P151" s="461"/>
      <c r="Q151" s="461"/>
      <c r="R151" s="461"/>
    </row>
    <row r="152" spans="11:18" s="368" customFormat="1">
      <c r="K152" s="1539"/>
      <c r="P152" s="461"/>
      <c r="Q152" s="461"/>
      <c r="R152" s="461"/>
    </row>
    <row r="153" spans="11:18" s="368" customFormat="1">
      <c r="K153" s="1539"/>
      <c r="P153" s="461"/>
      <c r="Q153" s="461"/>
      <c r="R153" s="461"/>
    </row>
    <row r="154" spans="11:18" s="368" customFormat="1">
      <c r="K154" s="1539"/>
      <c r="P154" s="461"/>
      <c r="Q154" s="461"/>
      <c r="R154" s="461"/>
    </row>
    <row r="155" spans="11:18" s="368" customFormat="1">
      <c r="K155" s="1539"/>
      <c r="P155" s="461"/>
      <c r="Q155" s="461"/>
      <c r="R155" s="461"/>
    </row>
    <row r="156" spans="11:18" s="368" customFormat="1">
      <c r="K156" s="1539"/>
      <c r="P156" s="461"/>
      <c r="Q156" s="461"/>
      <c r="R156" s="461"/>
    </row>
    <row r="157" spans="11:18" s="368" customFormat="1">
      <c r="K157" s="1539"/>
      <c r="P157" s="461"/>
      <c r="Q157" s="461"/>
      <c r="R157" s="461"/>
    </row>
    <row r="158" spans="11:18" s="368" customFormat="1">
      <c r="K158" s="1539"/>
      <c r="P158" s="461"/>
      <c r="Q158" s="461"/>
      <c r="R158" s="461"/>
    </row>
    <row r="159" spans="11:18" s="368" customFormat="1">
      <c r="K159" s="1539"/>
      <c r="P159" s="461"/>
      <c r="Q159" s="461"/>
      <c r="R159" s="461"/>
    </row>
    <row r="160" spans="11:18" s="368" customFormat="1">
      <c r="K160" s="1539"/>
      <c r="P160" s="461"/>
      <c r="Q160" s="461"/>
      <c r="R160" s="461"/>
    </row>
    <row r="161" spans="11:18" s="368" customFormat="1">
      <c r="K161" s="1539"/>
      <c r="P161" s="461"/>
      <c r="Q161" s="461"/>
      <c r="R161" s="461"/>
    </row>
    <row r="162" spans="11:18" s="368" customFormat="1">
      <c r="K162" s="1539"/>
      <c r="P162" s="461"/>
      <c r="Q162" s="461"/>
      <c r="R162" s="461"/>
    </row>
    <row r="163" spans="11:18" s="368" customFormat="1">
      <c r="K163" s="1539"/>
      <c r="P163" s="461"/>
      <c r="Q163" s="461"/>
      <c r="R163" s="461"/>
    </row>
    <row r="164" spans="11:18" s="368" customFormat="1">
      <c r="K164" s="1539"/>
      <c r="P164" s="461"/>
      <c r="Q164" s="461"/>
      <c r="R164" s="461"/>
    </row>
    <row r="165" spans="11:18" s="368" customFormat="1">
      <c r="K165" s="1539"/>
      <c r="P165" s="461"/>
      <c r="Q165" s="461"/>
      <c r="R165" s="461"/>
    </row>
    <row r="166" spans="11:18" s="368" customFormat="1">
      <c r="K166" s="1539"/>
      <c r="P166" s="461"/>
      <c r="Q166" s="461"/>
      <c r="R166" s="461"/>
    </row>
    <row r="167" spans="11:18" s="368" customFormat="1">
      <c r="K167" s="1539"/>
      <c r="P167" s="461"/>
      <c r="Q167" s="461"/>
      <c r="R167" s="461"/>
    </row>
    <row r="168" spans="11:18" s="368" customFormat="1">
      <c r="K168" s="1539"/>
      <c r="P168" s="461"/>
      <c r="Q168" s="461"/>
      <c r="R168" s="461"/>
    </row>
    <row r="169" spans="11:18" s="368" customFormat="1">
      <c r="K169" s="1539"/>
      <c r="P169" s="461"/>
      <c r="Q169" s="461"/>
      <c r="R169" s="461"/>
    </row>
    <row r="170" spans="11:18" s="368" customFormat="1">
      <c r="K170" s="1539"/>
      <c r="P170" s="461"/>
      <c r="Q170" s="461"/>
      <c r="R170" s="461"/>
    </row>
    <row r="171" spans="11:18" s="368" customFormat="1">
      <c r="K171" s="1539"/>
      <c r="P171" s="461"/>
      <c r="Q171" s="461"/>
      <c r="R171" s="461"/>
    </row>
    <row r="172" spans="11:18" s="368" customFormat="1">
      <c r="K172" s="1539"/>
      <c r="P172" s="461"/>
      <c r="Q172" s="461"/>
      <c r="R172" s="461"/>
    </row>
    <row r="173" spans="11:18" s="368" customFormat="1">
      <c r="K173" s="1539"/>
      <c r="P173" s="461"/>
      <c r="Q173" s="461"/>
      <c r="R173" s="461"/>
    </row>
    <row r="174" spans="11:18" s="368" customFormat="1">
      <c r="K174" s="1539"/>
      <c r="P174" s="461"/>
      <c r="Q174" s="461"/>
      <c r="R174" s="461"/>
    </row>
    <row r="175" spans="11:18" s="368" customFormat="1">
      <c r="K175" s="1539"/>
      <c r="P175" s="461"/>
      <c r="Q175" s="461"/>
      <c r="R175" s="461"/>
    </row>
    <row r="176" spans="11:18" s="368" customFormat="1">
      <c r="K176" s="1539"/>
      <c r="P176" s="461"/>
      <c r="Q176" s="461"/>
      <c r="R176" s="461"/>
    </row>
    <row r="177" spans="11:18" s="368" customFormat="1">
      <c r="K177" s="1539"/>
      <c r="P177" s="461"/>
      <c r="Q177" s="461"/>
      <c r="R177" s="461"/>
    </row>
    <row r="178" spans="11:18" s="368" customFormat="1">
      <c r="K178" s="1539"/>
      <c r="P178" s="461"/>
      <c r="Q178" s="461"/>
      <c r="R178" s="461"/>
    </row>
    <row r="179" spans="11:18" s="368" customFormat="1">
      <c r="K179" s="1539"/>
      <c r="P179" s="461"/>
      <c r="Q179" s="461"/>
      <c r="R179" s="461"/>
    </row>
    <row r="180" spans="11:18" s="368" customFormat="1">
      <c r="K180" s="1539"/>
      <c r="P180" s="461"/>
      <c r="Q180" s="461"/>
      <c r="R180" s="461"/>
    </row>
    <row r="181" spans="11:18" s="368" customFormat="1">
      <c r="K181" s="1539"/>
      <c r="P181" s="461"/>
      <c r="Q181" s="461"/>
      <c r="R181" s="461"/>
    </row>
    <row r="182" spans="11:18" s="368" customFormat="1">
      <c r="K182" s="1539"/>
      <c r="P182" s="461"/>
      <c r="Q182" s="461"/>
      <c r="R182" s="461"/>
    </row>
    <row r="183" spans="11:18" s="368" customFormat="1">
      <c r="K183" s="1539"/>
      <c r="P183" s="461"/>
      <c r="Q183" s="461"/>
      <c r="R183" s="461"/>
    </row>
    <row r="184" spans="11:18" s="368" customFormat="1">
      <c r="K184" s="1539"/>
      <c r="P184" s="461"/>
      <c r="Q184" s="461"/>
      <c r="R184" s="461"/>
    </row>
    <row r="185" spans="11:18" s="368" customFormat="1">
      <c r="K185" s="1539"/>
      <c r="P185" s="461"/>
      <c r="Q185" s="461"/>
      <c r="R185" s="461"/>
    </row>
    <row r="186" spans="11:18" s="368" customFormat="1">
      <c r="K186" s="1539"/>
      <c r="P186" s="461"/>
      <c r="Q186" s="461"/>
      <c r="R186" s="461"/>
    </row>
    <row r="187" spans="11:18" s="368" customFormat="1">
      <c r="K187" s="1539"/>
      <c r="P187" s="461"/>
      <c r="Q187" s="461"/>
      <c r="R187" s="461"/>
    </row>
    <row r="188" spans="11:18" s="368" customFormat="1">
      <c r="K188" s="1539"/>
      <c r="P188" s="461"/>
      <c r="Q188" s="461"/>
      <c r="R188" s="461"/>
    </row>
    <row r="189" spans="11:18" s="368" customFormat="1">
      <c r="K189" s="1539"/>
      <c r="P189" s="461"/>
      <c r="Q189" s="461"/>
      <c r="R189" s="461"/>
    </row>
    <row r="190" spans="11:18" s="368" customFormat="1">
      <c r="K190" s="1539"/>
      <c r="P190" s="461"/>
      <c r="Q190" s="461"/>
      <c r="R190" s="461"/>
    </row>
    <row r="191" spans="11:18" s="368" customFormat="1">
      <c r="K191" s="1539"/>
      <c r="P191" s="461"/>
      <c r="Q191" s="461"/>
      <c r="R191" s="461"/>
    </row>
    <row r="192" spans="11:18" s="368" customFormat="1">
      <c r="K192" s="1539"/>
      <c r="P192" s="461"/>
      <c r="Q192" s="461"/>
      <c r="R192" s="461"/>
    </row>
    <row r="193" spans="11:18" s="368" customFormat="1">
      <c r="K193" s="1539"/>
      <c r="P193" s="461"/>
      <c r="Q193" s="461"/>
      <c r="R193" s="461"/>
    </row>
    <row r="194" spans="11:18" s="368" customFormat="1">
      <c r="K194" s="1539"/>
      <c r="P194" s="461"/>
      <c r="Q194" s="461"/>
      <c r="R194" s="461"/>
    </row>
    <row r="195" spans="11:18" s="368" customFormat="1">
      <c r="K195" s="1539"/>
      <c r="P195" s="461"/>
      <c r="Q195" s="461"/>
      <c r="R195" s="461"/>
    </row>
    <row r="196" spans="11:18" s="368" customFormat="1">
      <c r="K196" s="1539"/>
      <c r="P196" s="461"/>
      <c r="Q196" s="461"/>
      <c r="R196" s="461"/>
    </row>
    <row r="197" spans="11:18" s="368" customFormat="1">
      <c r="K197" s="1539"/>
      <c r="P197" s="461"/>
      <c r="Q197" s="461"/>
      <c r="R197" s="461"/>
    </row>
    <row r="198" spans="11:18" s="368" customFormat="1">
      <c r="K198" s="1539"/>
      <c r="P198" s="461"/>
      <c r="Q198" s="461"/>
      <c r="R198" s="461"/>
    </row>
    <row r="199" spans="11:18" s="368" customFormat="1">
      <c r="K199" s="1539"/>
      <c r="P199" s="461"/>
      <c r="Q199" s="461"/>
      <c r="R199" s="461"/>
    </row>
    <row r="200" spans="11:18" s="368" customFormat="1">
      <c r="K200" s="1539"/>
      <c r="P200" s="461"/>
      <c r="Q200" s="461"/>
      <c r="R200" s="461"/>
    </row>
    <row r="201" spans="11:18" s="368" customFormat="1">
      <c r="K201" s="1539"/>
      <c r="P201" s="461"/>
      <c r="Q201" s="461"/>
      <c r="R201" s="461"/>
    </row>
    <row r="202" spans="11:18" s="368" customFormat="1">
      <c r="K202" s="1539"/>
      <c r="P202" s="461"/>
      <c r="Q202" s="461"/>
      <c r="R202" s="461"/>
    </row>
    <row r="203" spans="11:18" s="368" customFormat="1">
      <c r="K203" s="1539"/>
      <c r="P203" s="461"/>
      <c r="Q203" s="461"/>
      <c r="R203" s="461"/>
    </row>
    <row r="204" spans="11:18" s="368" customFormat="1">
      <c r="K204" s="1539"/>
      <c r="P204" s="461"/>
      <c r="Q204" s="461"/>
      <c r="R204" s="461"/>
    </row>
    <row r="205" spans="11:18" s="368" customFormat="1">
      <c r="K205" s="1539"/>
      <c r="P205" s="461"/>
      <c r="Q205" s="461"/>
      <c r="R205" s="461"/>
    </row>
    <row r="206" spans="11:18" s="368" customFormat="1">
      <c r="K206" s="1539"/>
      <c r="P206" s="461"/>
      <c r="Q206" s="461"/>
      <c r="R206" s="461"/>
    </row>
    <row r="207" spans="11:18" s="368" customFormat="1">
      <c r="K207" s="1539"/>
      <c r="P207" s="461"/>
      <c r="Q207" s="461"/>
      <c r="R207" s="461"/>
    </row>
    <row r="208" spans="11:18" s="368" customFormat="1">
      <c r="K208" s="1539"/>
      <c r="P208" s="461"/>
      <c r="Q208" s="461"/>
      <c r="R208" s="461"/>
    </row>
    <row r="209" spans="11:18" s="368" customFormat="1">
      <c r="K209" s="1539"/>
      <c r="P209" s="461"/>
      <c r="Q209" s="461"/>
      <c r="R209" s="461"/>
    </row>
    <row r="210" spans="11:18" s="368" customFormat="1">
      <c r="K210" s="1539"/>
      <c r="P210" s="461"/>
      <c r="Q210" s="461"/>
      <c r="R210" s="461"/>
    </row>
    <row r="211" spans="11:18" s="368" customFormat="1">
      <c r="K211" s="1539"/>
      <c r="P211" s="461"/>
      <c r="Q211" s="461"/>
      <c r="R211" s="461"/>
    </row>
    <row r="212" spans="11:18" s="368" customFormat="1">
      <c r="K212" s="1539"/>
      <c r="P212" s="461"/>
      <c r="Q212" s="461"/>
      <c r="R212" s="461"/>
    </row>
    <row r="213" spans="11:18" s="368" customFormat="1">
      <c r="K213" s="1539"/>
      <c r="P213" s="461"/>
      <c r="Q213" s="461"/>
      <c r="R213" s="461"/>
    </row>
    <row r="214" spans="11:18" s="368" customFormat="1">
      <c r="K214" s="1539"/>
      <c r="P214" s="461"/>
      <c r="Q214" s="461"/>
      <c r="R214" s="461"/>
    </row>
    <row r="215" spans="11:18" s="368" customFormat="1">
      <c r="K215" s="1539"/>
      <c r="P215" s="461"/>
      <c r="Q215" s="461"/>
      <c r="R215" s="461"/>
    </row>
    <row r="216" spans="11:18" s="368" customFormat="1">
      <c r="K216" s="1539"/>
      <c r="P216" s="461"/>
      <c r="Q216" s="461"/>
      <c r="R216" s="461"/>
    </row>
    <row r="217" spans="11:18" s="368" customFormat="1">
      <c r="K217" s="1539"/>
      <c r="P217" s="461"/>
      <c r="Q217" s="461"/>
      <c r="R217" s="461"/>
    </row>
    <row r="218" spans="11:18" s="368" customFormat="1">
      <c r="K218" s="1539"/>
      <c r="P218" s="461"/>
      <c r="Q218" s="461"/>
      <c r="R218" s="461"/>
    </row>
    <row r="219" spans="11:18" s="368" customFormat="1">
      <c r="K219" s="1539"/>
      <c r="P219" s="461"/>
      <c r="Q219" s="461"/>
      <c r="R219" s="461"/>
    </row>
    <row r="220" spans="11:18" s="368" customFormat="1">
      <c r="K220" s="1539"/>
      <c r="P220" s="461"/>
      <c r="Q220" s="461"/>
      <c r="R220" s="461"/>
    </row>
    <row r="221" spans="11:18" s="368" customFormat="1">
      <c r="K221" s="1539"/>
      <c r="P221" s="461"/>
      <c r="Q221" s="461"/>
      <c r="R221" s="461"/>
    </row>
    <row r="222" spans="11:18" s="368" customFormat="1">
      <c r="K222" s="1539"/>
      <c r="P222" s="461"/>
      <c r="Q222" s="461"/>
      <c r="R222" s="461"/>
    </row>
    <row r="223" spans="11:18" s="368" customFormat="1">
      <c r="K223" s="1539"/>
      <c r="P223" s="461"/>
      <c r="Q223" s="461"/>
      <c r="R223" s="461"/>
    </row>
    <row r="224" spans="11:18" s="368" customFormat="1">
      <c r="K224" s="1539"/>
      <c r="P224" s="461"/>
      <c r="Q224" s="461"/>
      <c r="R224" s="461"/>
    </row>
    <row r="225" spans="11:18" s="368" customFormat="1">
      <c r="K225" s="1539"/>
      <c r="P225" s="461"/>
      <c r="Q225" s="461"/>
      <c r="R225" s="461"/>
    </row>
    <row r="226" spans="11:18" s="368" customFormat="1">
      <c r="K226" s="1539"/>
      <c r="P226" s="461"/>
      <c r="Q226" s="461"/>
      <c r="R226" s="461"/>
    </row>
    <row r="227" spans="11:18" s="368" customFormat="1">
      <c r="K227" s="1539"/>
      <c r="P227" s="461"/>
      <c r="Q227" s="461"/>
      <c r="R227" s="461"/>
    </row>
    <row r="228" spans="11:18" s="368" customFormat="1">
      <c r="K228" s="1539"/>
      <c r="P228" s="461"/>
      <c r="Q228" s="461"/>
      <c r="R228" s="461"/>
    </row>
    <row r="229" spans="11:18" s="368" customFormat="1">
      <c r="K229" s="1539"/>
      <c r="P229" s="461"/>
      <c r="Q229" s="461"/>
      <c r="R229" s="461"/>
    </row>
    <row r="230" spans="11:18" s="368" customFormat="1">
      <c r="K230" s="1539"/>
      <c r="P230" s="461"/>
      <c r="Q230" s="461"/>
      <c r="R230" s="461"/>
    </row>
    <row r="231" spans="11:18" s="368" customFormat="1">
      <c r="K231" s="1539"/>
      <c r="P231" s="461"/>
      <c r="Q231" s="461"/>
      <c r="R231" s="461"/>
    </row>
    <row r="232" spans="11:18" s="368" customFormat="1">
      <c r="K232" s="1539"/>
      <c r="P232" s="461"/>
      <c r="Q232" s="461"/>
      <c r="R232" s="461"/>
    </row>
    <row r="233" spans="11:18" s="368" customFormat="1">
      <c r="K233" s="1539"/>
      <c r="P233" s="461"/>
      <c r="Q233" s="461"/>
      <c r="R233" s="461"/>
    </row>
    <row r="234" spans="11:18" s="368" customFormat="1">
      <c r="K234" s="1539"/>
      <c r="P234" s="461"/>
      <c r="Q234" s="461"/>
      <c r="R234" s="461"/>
    </row>
    <row r="235" spans="11:18" s="368" customFormat="1">
      <c r="K235" s="1539"/>
      <c r="P235" s="461"/>
      <c r="Q235" s="461"/>
      <c r="R235" s="461"/>
    </row>
    <row r="236" spans="11:18" s="368" customFormat="1">
      <c r="K236" s="1539"/>
      <c r="P236" s="461"/>
      <c r="Q236" s="461"/>
      <c r="R236" s="461"/>
    </row>
    <row r="237" spans="11:18" s="368" customFormat="1">
      <c r="K237" s="1539"/>
      <c r="P237" s="461"/>
      <c r="Q237" s="461"/>
      <c r="R237" s="461"/>
    </row>
    <row r="238" spans="11:18" s="368" customFormat="1">
      <c r="K238" s="1539"/>
      <c r="P238" s="461"/>
      <c r="Q238" s="461"/>
      <c r="R238" s="461"/>
    </row>
    <row r="239" spans="11:18" s="368" customFormat="1">
      <c r="K239" s="1539"/>
      <c r="P239" s="461"/>
      <c r="Q239" s="461"/>
      <c r="R239" s="461"/>
    </row>
    <row r="240" spans="11:18" s="368" customFormat="1">
      <c r="K240" s="1539"/>
      <c r="P240" s="461"/>
      <c r="Q240" s="461"/>
      <c r="R240" s="461"/>
    </row>
    <row r="241" spans="11:18" s="368" customFormat="1">
      <c r="K241" s="1539"/>
      <c r="P241" s="461"/>
      <c r="Q241" s="461"/>
      <c r="R241" s="461"/>
    </row>
    <row r="242" spans="11:18" s="368" customFormat="1">
      <c r="K242" s="1539"/>
      <c r="P242" s="461"/>
      <c r="Q242" s="461"/>
      <c r="R242" s="461"/>
    </row>
    <row r="243" spans="11:18" s="368" customFormat="1">
      <c r="K243" s="1539"/>
      <c r="P243" s="461"/>
      <c r="Q243" s="461"/>
      <c r="R243" s="461"/>
    </row>
    <row r="244" spans="11:18" s="368" customFormat="1">
      <c r="K244" s="1539"/>
      <c r="P244" s="461"/>
      <c r="Q244" s="461"/>
      <c r="R244" s="461"/>
    </row>
    <row r="245" spans="11:18" s="368" customFormat="1">
      <c r="K245" s="1539"/>
      <c r="P245" s="461"/>
      <c r="Q245" s="461"/>
      <c r="R245" s="461"/>
    </row>
    <row r="246" spans="11:18" s="368" customFormat="1">
      <c r="K246" s="1539"/>
      <c r="P246" s="461"/>
      <c r="Q246" s="461"/>
      <c r="R246" s="461"/>
    </row>
    <row r="247" spans="11:18" s="368" customFormat="1">
      <c r="K247" s="1539"/>
      <c r="P247" s="461"/>
      <c r="Q247" s="461"/>
      <c r="R247" s="461"/>
    </row>
    <row r="248" spans="11:18" s="368" customFormat="1">
      <c r="K248" s="1539"/>
      <c r="P248" s="461"/>
      <c r="Q248" s="461"/>
      <c r="R248" s="461"/>
    </row>
    <row r="249" spans="11:18" s="368" customFormat="1">
      <c r="K249" s="1539"/>
      <c r="P249" s="461"/>
      <c r="Q249" s="461"/>
      <c r="R249" s="461"/>
    </row>
    <row r="250" spans="11:18" s="368" customFormat="1">
      <c r="K250" s="1539"/>
      <c r="P250" s="461"/>
      <c r="Q250" s="461"/>
      <c r="R250" s="461"/>
    </row>
    <row r="251" spans="11:18" s="368" customFormat="1">
      <c r="K251" s="1539"/>
      <c r="P251" s="461"/>
      <c r="Q251" s="461"/>
      <c r="R251" s="461"/>
    </row>
    <row r="252" spans="11:18" s="368" customFormat="1">
      <c r="K252" s="1539"/>
      <c r="P252" s="461"/>
      <c r="Q252" s="461"/>
      <c r="R252" s="461"/>
    </row>
    <row r="253" spans="11:18" s="368" customFormat="1">
      <c r="K253" s="1539"/>
      <c r="P253" s="461"/>
      <c r="Q253" s="461"/>
      <c r="R253" s="461"/>
    </row>
    <row r="254" spans="11:18" s="368" customFormat="1">
      <c r="K254" s="1539"/>
      <c r="P254" s="461"/>
      <c r="Q254" s="461"/>
      <c r="R254" s="461"/>
    </row>
    <row r="255" spans="11:18" s="368" customFormat="1">
      <c r="K255" s="1539"/>
      <c r="P255" s="461"/>
      <c r="Q255" s="461"/>
      <c r="R255" s="461"/>
    </row>
    <row r="256" spans="11:18" s="368" customFormat="1">
      <c r="K256" s="1539"/>
      <c r="P256" s="461"/>
      <c r="Q256" s="461"/>
      <c r="R256" s="461"/>
    </row>
    <row r="257" spans="11:18" s="368" customFormat="1">
      <c r="K257" s="1539"/>
      <c r="P257" s="461"/>
      <c r="Q257" s="461"/>
      <c r="R257" s="461"/>
    </row>
    <row r="258" spans="11:18" s="368" customFormat="1">
      <c r="K258" s="1539"/>
      <c r="P258" s="461"/>
      <c r="Q258" s="461"/>
      <c r="R258" s="461"/>
    </row>
    <row r="259" spans="11:18" s="368" customFormat="1">
      <c r="K259" s="1539"/>
      <c r="P259" s="461"/>
      <c r="Q259" s="461"/>
      <c r="R259" s="461"/>
    </row>
    <row r="260" spans="11:18" s="368" customFormat="1">
      <c r="K260" s="1539"/>
      <c r="P260" s="461"/>
      <c r="Q260" s="461"/>
      <c r="R260" s="461"/>
    </row>
    <row r="261" spans="11:18" s="368" customFormat="1">
      <c r="K261" s="1539"/>
      <c r="P261" s="461"/>
      <c r="Q261" s="461"/>
      <c r="R261" s="461"/>
    </row>
    <row r="262" spans="11:18" s="368" customFormat="1">
      <c r="K262" s="1539"/>
      <c r="P262" s="461"/>
      <c r="Q262" s="461"/>
      <c r="R262" s="461"/>
    </row>
    <row r="263" spans="11:18" s="368" customFormat="1">
      <c r="K263" s="1539"/>
      <c r="P263" s="461"/>
      <c r="Q263" s="461"/>
      <c r="R263" s="461"/>
    </row>
    <row r="264" spans="11:18" s="368" customFormat="1">
      <c r="K264" s="1539"/>
      <c r="P264" s="461"/>
      <c r="Q264" s="461"/>
      <c r="R264" s="461"/>
    </row>
    <row r="265" spans="11:18" s="368" customFormat="1">
      <c r="K265" s="1539"/>
      <c r="P265" s="461"/>
      <c r="Q265" s="461"/>
      <c r="R265" s="461"/>
    </row>
    <row r="266" spans="11:18" s="368" customFormat="1">
      <c r="K266" s="1539"/>
      <c r="P266" s="461"/>
      <c r="Q266" s="461"/>
      <c r="R266" s="461"/>
    </row>
    <row r="267" spans="11:18" s="368" customFormat="1">
      <c r="K267" s="1539"/>
      <c r="P267" s="461"/>
      <c r="Q267" s="461"/>
      <c r="R267" s="461"/>
    </row>
    <row r="268" spans="11:18" s="368" customFormat="1">
      <c r="K268" s="1539"/>
      <c r="P268" s="461"/>
      <c r="Q268" s="461"/>
      <c r="R268" s="461"/>
    </row>
    <row r="269" spans="11:18" s="368" customFormat="1">
      <c r="K269" s="1539"/>
      <c r="P269" s="461"/>
      <c r="Q269" s="461"/>
      <c r="R269" s="461"/>
    </row>
    <row r="270" spans="11:18" s="368" customFormat="1">
      <c r="K270" s="1539"/>
      <c r="P270" s="461"/>
      <c r="Q270" s="461"/>
      <c r="R270" s="461"/>
    </row>
    <row r="271" spans="11:18" s="368" customFormat="1">
      <c r="K271" s="1539"/>
      <c r="P271" s="461"/>
      <c r="Q271" s="461"/>
      <c r="R271" s="461"/>
    </row>
    <row r="272" spans="11:18" s="368" customFormat="1">
      <c r="K272" s="1539"/>
      <c r="P272" s="461"/>
      <c r="Q272" s="461"/>
      <c r="R272" s="461"/>
    </row>
    <row r="273" spans="11:18" s="368" customFormat="1">
      <c r="K273" s="1539"/>
      <c r="P273" s="461"/>
      <c r="Q273" s="461"/>
      <c r="R273" s="461"/>
    </row>
    <row r="274" spans="11:18" s="368" customFormat="1">
      <c r="K274" s="1539"/>
      <c r="P274" s="461"/>
      <c r="Q274" s="461"/>
      <c r="R274" s="461"/>
    </row>
    <row r="275" spans="11:18" s="368" customFormat="1">
      <c r="K275" s="1539"/>
      <c r="P275" s="461"/>
      <c r="Q275" s="461"/>
      <c r="R275" s="461"/>
    </row>
    <row r="276" spans="11:18" s="368" customFormat="1">
      <c r="K276" s="1539"/>
      <c r="P276" s="461"/>
      <c r="Q276" s="461"/>
      <c r="R276" s="461"/>
    </row>
    <row r="277" spans="11:18" s="368" customFormat="1">
      <c r="K277" s="1539"/>
      <c r="P277" s="461"/>
      <c r="Q277" s="461"/>
      <c r="R277" s="461"/>
    </row>
    <row r="278" spans="11:18" s="368" customFormat="1">
      <c r="K278" s="1539"/>
      <c r="P278" s="461"/>
      <c r="Q278" s="461"/>
      <c r="R278" s="461"/>
    </row>
    <row r="279" spans="11:18" s="368" customFormat="1">
      <c r="K279" s="1539"/>
      <c r="P279" s="461"/>
      <c r="Q279" s="461"/>
      <c r="R279" s="461"/>
    </row>
    <row r="280" spans="11:18" s="368" customFormat="1">
      <c r="K280" s="1539"/>
      <c r="P280" s="461"/>
      <c r="Q280" s="461"/>
      <c r="R280" s="461"/>
    </row>
    <row r="281" spans="11:18" s="368" customFormat="1">
      <c r="K281" s="1539"/>
      <c r="P281" s="461"/>
      <c r="Q281" s="461"/>
      <c r="R281" s="461"/>
    </row>
    <row r="282" spans="11:18" s="368" customFormat="1">
      <c r="K282" s="1539"/>
      <c r="P282" s="461"/>
      <c r="Q282" s="461"/>
      <c r="R282" s="461"/>
    </row>
    <row r="283" spans="11:18" s="368" customFormat="1">
      <c r="K283" s="1539"/>
      <c r="P283" s="461"/>
      <c r="Q283" s="461"/>
      <c r="R283" s="461"/>
    </row>
    <row r="284" spans="11:18" s="368" customFormat="1">
      <c r="K284" s="1539"/>
      <c r="P284" s="461"/>
      <c r="Q284" s="461"/>
      <c r="R284" s="461"/>
    </row>
    <row r="285" spans="11:18" s="368" customFormat="1">
      <c r="K285" s="1539"/>
      <c r="P285" s="461"/>
      <c r="Q285" s="461"/>
      <c r="R285" s="461"/>
    </row>
    <row r="286" spans="11:18" s="368" customFormat="1">
      <c r="K286" s="1539"/>
      <c r="P286" s="461"/>
      <c r="Q286" s="461"/>
      <c r="R286" s="461"/>
    </row>
    <row r="287" spans="11:18" s="368" customFormat="1">
      <c r="K287" s="1539"/>
      <c r="P287" s="461"/>
      <c r="Q287" s="461"/>
      <c r="R287" s="461"/>
    </row>
    <row r="288" spans="11:18" s="368" customFormat="1">
      <c r="K288" s="1539"/>
      <c r="P288" s="461"/>
      <c r="Q288" s="461"/>
      <c r="R288" s="461"/>
    </row>
    <row r="289" spans="11:18" s="368" customFormat="1">
      <c r="K289" s="1539"/>
      <c r="P289" s="461"/>
      <c r="Q289" s="461"/>
      <c r="R289" s="461"/>
    </row>
    <row r="290" spans="11:18" s="368" customFormat="1">
      <c r="K290" s="1539"/>
      <c r="P290" s="461"/>
      <c r="Q290" s="461"/>
      <c r="R290" s="461"/>
    </row>
    <row r="291" spans="11:18" s="368" customFormat="1">
      <c r="K291" s="1539"/>
      <c r="P291" s="461"/>
      <c r="Q291" s="461"/>
      <c r="R291" s="461"/>
    </row>
    <row r="292" spans="11:18" s="368" customFormat="1">
      <c r="K292" s="1539"/>
      <c r="P292" s="461"/>
      <c r="Q292" s="461"/>
      <c r="R292" s="461"/>
    </row>
    <row r="293" spans="11:18" s="368" customFormat="1">
      <c r="K293" s="1539"/>
      <c r="P293" s="461"/>
      <c r="Q293" s="461"/>
      <c r="R293" s="461"/>
    </row>
    <row r="294" spans="11:18" s="368" customFormat="1">
      <c r="K294" s="1539"/>
      <c r="P294" s="461"/>
      <c r="Q294" s="461"/>
      <c r="R294" s="461"/>
    </row>
    <row r="295" spans="11:18" s="368" customFormat="1">
      <c r="K295" s="1539"/>
      <c r="P295" s="461"/>
      <c r="Q295" s="461"/>
      <c r="R295" s="461"/>
    </row>
    <row r="296" spans="11:18" s="368" customFormat="1">
      <c r="K296" s="1539"/>
      <c r="P296" s="461"/>
      <c r="Q296" s="461"/>
      <c r="R296" s="461"/>
    </row>
    <row r="297" spans="11:18" s="368" customFormat="1">
      <c r="K297" s="1539"/>
      <c r="P297" s="461"/>
      <c r="Q297" s="461"/>
      <c r="R297" s="461"/>
    </row>
    <row r="298" spans="11:18" s="368" customFormat="1">
      <c r="K298" s="1539"/>
      <c r="P298" s="461"/>
      <c r="Q298" s="461"/>
      <c r="R298" s="461"/>
    </row>
    <row r="299" spans="11:18" s="368" customFormat="1">
      <c r="K299" s="1539"/>
      <c r="P299" s="461"/>
      <c r="Q299" s="461"/>
      <c r="R299" s="461"/>
    </row>
    <row r="300" spans="11:18" s="368" customFormat="1">
      <c r="K300" s="1539"/>
      <c r="P300" s="461"/>
      <c r="Q300" s="461"/>
      <c r="R300" s="461"/>
    </row>
    <row r="301" spans="11:18" s="368" customFormat="1">
      <c r="K301" s="1539"/>
      <c r="P301" s="461"/>
      <c r="Q301" s="461"/>
      <c r="R301" s="461"/>
    </row>
    <row r="302" spans="11:18" s="368" customFormat="1">
      <c r="K302" s="1539"/>
      <c r="P302" s="461"/>
      <c r="Q302" s="461"/>
      <c r="R302" s="461"/>
    </row>
    <row r="303" spans="11:18" s="368" customFormat="1">
      <c r="K303" s="1539"/>
      <c r="P303" s="461"/>
      <c r="Q303" s="461"/>
      <c r="R303" s="461"/>
    </row>
    <row r="304" spans="11:18" s="368" customFormat="1">
      <c r="K304" s="1539"/>
      <c r="P304" s="461"/>
      <c r="Q304" s="461"/>
      <c r="R304" s="461"/>
    </row>
    <row r="305" spans="11:18" s="368" customFormat="1">
      <c r="K305" s="1539"/>
      <c r="P305" s="461"/>
      <c r="Q305" s="461"/>
      <c r="R305" s="461"/>
    </row>
    <row r="306" spans="11:18" s="368" customFormat="1">
      <c r="K306" s="1539"/>
      <c r="P306" s="461"/>
      <c r="Q306" s="461"/>
      <c r="R306" s="461"/>
    </row>
    <row r="307" spans="11:18" s="368" customFormat="1">
      <c r="K307" s="1539"/>
      <c r="P307" s="461"/>
      <c r="Q307" s="461"/>
      <c r="R307" s="461"/>
    </row>
    <row r="308" spans="11:18" s="368" customFormat="1">
      <c r="K308" s="1539"/>
      <c r="P308" s="461"/>
      <c r="Q308" s="461"/>
      <c r="R308" s="461"/>
    </row>
    <row r="309" spans="11:18" s="368" customFormat="1">
      <c r="K309" s="1539"/>
      <c r="P309" s="461"/>
      <c r="Q309" s="461"/>
      <c r="R309" s="461"/>
    </row>
    <row r="310" spans="11:18" s="368" customFormat="1">
      <c r="K310" s="1539"/>
      <c r="P310" s="461"/>
      <c r="Q310" s="461"/>
      <c r="R310" s="461"/>
    </row>
    <row r="311" spans="11:18" s="368" customFormat="1">
      <c r="K311" s="1539"/>
      <c r="P311" s="461"/>
      <c r="Q311" s="461"/>
      <c r="R311" s="461"/>
    </row>
    <row r="312" spans="11:18" s="368" customFormat="1">
      <c r="K312" s="1539"/>
      <c r="P312" s="461"/>
      <c r="Q312" s="461"/>
      <c r="R312" s="461"/>
    </row>
    <row r="313" spans="11:18" s="368" customFormat="1">
      <c r="K313" s="1539"/>
      <c r="P313" s="461"/>
      <c r="Q313" s="461"/>
      <c r="R313" s="461"/>
    </row>
    <row r="314" spans="11:18" s="368" customFormat="1">
      <c r="K314" s="1539"/>
      <c r="P314" s="461"/>
      <c r="Q314" s="461"/>
      <c r="R314" s="461"/>
    </row>
    <row r="315" spans="11:18" s="368" customFormat="1">
      <c r="K315" s="1539"/>
      <c r="P315" s="461"/>
      <c r="Q315" s="461"/>
      <c r="R315" s="461"/>
    </row>
    <row r="316" spans="11:18" s="368" customFormat="1">
      <c r="K316" s="1539"/>
      <c r="P316" s="461"/>
      <c r="Q316" s="461"/>
      <c r="R316" s="461"/>
    </row>
    <row r="317" spans="11:18" s="368" customFormat="1">
      <c r="K317" s="1539"/>
      <c r="P317" s="461"/>
      <c r="Q317" s="461"/>
      <c r="R317" s="461"/>
    </row>
    <row r="318" spans="11:18" s="368" customFormat="1">
      <c r="K318" s="1539"/>
      <c r="P318" s="461"/>
      <c r="Q318" s="461"/>
      <c r="R318" s="461"/>
    </row>
    <row r="319" spans="11:18" s="368" customFormat="1">
      <c r="K319" s="1539"/>
      <c r="P319" s="461"/>
      <c r="Q319" s="461"/>
      <c r="R319" s="461"/>
    </row>
    <row r="320" spans="11:18" s="368" customFormat="1">
      <c r="K320" s="1539"/>
      <c r="P320" s="461"/>
      <c r="Q320" s="461"/>
      <c r="R320" s="461"/>
    </row>
    <row r="321" spans="11:18" s="368" customFormat="1">
      <c r="K321" s="1539"/>
      <c r="P321" s="461"/>
      <c r="Q321" s="461"/>
      <c r="R321" s="461"/>
    </row>
    <row r="322" spans="11:18" s="368" customFormat="1">
      <c r="K322" s="1539"/>
      <c r="P322" s="461"/>
      <c r="Q322" s="461"/>
      <c r="R322" s="461"/>
    </row>
    <row r="323" spans="11:18" s="368" customFormat="1">
      <c r="K323" s="1539"/>
      <c r="P323" s="461"/>
      <c r="Q323" s="461"/>
      <c r="R323" s="461"/>
    </row>
    <row r="324" spans="11:18" s="368" customFormat="1">
      <c r="K324" s="1539"/>
      <c r="P324" s="461"/>
      <c r="Q324" s="461"/>
      <c r="R324" s="461"/>
    </row>
    <row r="325" spans="11:18" s="368" customFormat="1">
      <c r="K325" s="1539"/>
      <c r="P325" s="461"/>
      <c r="Q325" s="461"/>
      <c r="R325" s="461"/>
    </row>
    <row r="326" spans="11:18" s="368" customFormat="1">
      <c r="K326" s="1539"/>
      <c r="P326" s="461"/>
      <c r="Q326" s="461"/>
      <c r="R326" s="461"/>
    </row>
    <row r="327" spans="11:18" s="368" customFormat="1">
      <c r="K327" s="1539"/>
      <c r="P327" s="461"/>
      <c r="Q327" s="461"/>
      <c r="R327" s="461"/>
    </row>
    <row r="328" spans="11:18" s="368" customFormat="1">
      <c r="K328" s="1539"/>
      <c r="P328" s="461"/>
      <c r="Q328" s="461"/>
      <c r="R328" s="461"/>
    </row>
    <row r="329" spans="11:18" s="368" customFormat="1">
      <c r="K329" s="1539"/>
      <c r="P329" s="461"/>
      <c r="Q329" s="461"/>
      <c r="R329" s="461"/>
    </row>
    <row r="330" spans="11:18" s="368" customFormat="1">
      <c r="K330" s="1539"/>
      <c r="P330" s="461"/>
      <c r="Q330" s="461"/>
      <c r="R330" s="461"/>
    </row>
    <row r="331" spans="11:18" s="368" customFormat="1">
      <c r="K331" s="1539"/>
      <c r="P331" s="461"/>
      <c r="Q331" s="461"/>
      <c r="R331" s="461"/>
    </row>
    <row r="332" spans="11:18" s="368" customFormat="1">
      <c r="K332" s="1539"/>
      <c r="P332" s="461"/>
      <c r="Q332" s="461"/>
      <c r="R332" s="461"/>
    </row>
    <row r="333" spans="11:18" s="368" customFormat="1">
      <c r="K333" s="1539"/>
      <c r="P333" s="461"/>
      <c r="Q333" s="461"/>
      <c r="R333" s="461"/>
    </row>
    <row r="334" spans="11:18" s="368" customFormat="1">
      <c r="K334" s="1539"/>
      <c r="P334" s="461"/>
      <c r="Q334" s="461"/>
      <c r="R334" s="461"/>
    </row>
    <row r="335" spans="11:18" s="368" customFormat="1">
      <c r="K335" s="1539"/>
      <c r="P335" s="461"/>
      <c r="Q335" s="461"/>
      <c r="R335" s="461"/>
    </row>
    <row r="336" spans="11:18" s="368" customFormat="1">
      <c r="K336" s="1539"/>
      <c r="P336" s="461"/>
      <c r="Q336" s="461"/>
      <c r="R336" s="461"/>
    </row>
    <row r="337" spans="11:18" s="368" customFormat="1">
      <c r="K337" s="1539"/>
      <c r="P337" s="461"/>
      <c r="Q337" s="461"/>
      <c r="R337" s="461"/>
    </row>
    <row r="338" spans="11:18" s="368" customFormat="1">
      <c r="K338" s="1539"/>
      <c r="P338" s="461"/>
      <c r="Q338" s="461"/>
      <c r="R338" s="461"/>
    </row>
    <row r="339" spans="11:18" s="368" customFormat="1">
      <c r="K339" s="1539"/>
      <c r="P339" s="461"/>
      <c r="Q339" s="461"/>
      <c r="R339" s="461"/>
    </row>
    <row r="340" spans="11:18" s="368" customFormat="1">
      <c r="K340" s="1539"/>
      <c r="P340" s="461"/>
      <c r="Q340" s="461"/>
      <c r="R340" s="461"/>
    </row>
    <row r="341" spans="11:18" s="368" customFormat="1">
      <c r="K341" s="1539"/>
      <c r="P341" s="461"/>
      <c r="Q341" s="461"/>
      <c r="R341" s="461"/>
    </row>
    <row r="342" spans="11:18" s="368" customFormat="1">
      <c r="K342" s="1539"/>
      <c r="P342" s="461"/>
      <c r="Q342" s="461"/>
      <c r="R342" s="461"/>
    </row>
    <row r="343" spans="11:18" s="368" customFormat="1">
      <c r="K343" s="1539"/>
      <c r="P343" s="461"/>
      <c r="Q343" s="461"/>
      <c r="R343" s="461"/>
    </row>
    <row r="344" spans="11:18" s="368" customFormat="1">
      <c r="K344" s="1539"/>
      <c r="P344" s="461"/>
      <c r="Q344" s="461"/>
      <c r="R344" s="461"/>
    </row>
    <row r="345" spans="11:18" s="368" customFormat="1">
      <c r="K345" s="1539"/>
      <c r="P345" s="461"/>
      <c r="Q345" s="461"/>
      <c r="R345" s="461"/>
    </row>
    <row r="346" spans="11:18" s="368" customFormat="1">
      <c r="K346" s="1539"/>
      <c r="P346" s="461"/>
      <c r="Q346" s="461"/>
      <c r="R346" s="461"/>
    </row>
    <row r="347" spans="11:18" s="368" customFormat="1">
      <c r="K347" s="1539"/>
      <c r="P347" s="461"/>
      <c r="Q347" s="461"/>
      <c r="R347" s="461"/>
    </row>
    <row r="348" spans="11:18" s="368" customFormat="1">
      <c r="K348" s="1539"/>
      <c r="P348" s="461"/>
      <c r="Q348" s="461"/>
      <c r="R348" s="461"/>
    </row>
    <row r="349" spans="11:18" s="368" customFormat="1">
      <c r="K349" s="1539"/>
      <c r="P349" s="461"/>
      <c r="Q349" s="461"/>
      <c r="R349" s="461"/>
    </row>
    <row r="350" spans="11:18" s="368" customFormat="1">
      <c r="K350" s="1539"/>
      <c r="P350" s="461"/>
      <c r="Q350" s="461"/>
      <c r="R350" s="461"/>
    </row>
    <row r="351" spans="11:18" s="368" customFormat="1">
      <c r="K351" s="1539"/>
      <c r="P351" s="461"/>
      <c r="Q351" s="461"/>
      <c r="R351" s="461"/>
    </row>
    <row r="352" spans="11:18" s="368" customFormat="1">
      <c r="K352" s="1539"/>
      <c r="P352" s="461"/>
      <c r="Q352" s="461"/>
      <c r="R352" s="461"/>
    </row>
    <row r="353" spans="11:18" s="368" customFormat="1">
      <c r="K353" s="1539"/>
      <c r="P353" s="461"/>
      <c r="Q353" s="461"/>
      <c r="R353" s="461"/>
    </row>
    <row r="354" spans="11:18" s="368" customFormat="1">
      <c r="K354" s="1539"/>
      <c r="P354" s="461"/>
      <c r="Q354" s="461"/>
      <c r="R354" s="461"/>
    </row>
    <row r="355" spans="11:18" s="368" customFormat="1">
      <c r="K355" s="1539"/>
      <c r="P355" s="461"/>
      <c r="Q355" s="461"/>
      <c r="R355" s="461"/>
    </row>
    <row r="356" spans="11:18" s="368" customFormat="1">
      <c r="K356" s="1539"/>
      <c r="P356" s="461"/>
      <c r="Q356" s="461"/>
      <c r="R356" s="461"/>
    </row>
    <row r="357" spans="11:18" s="368" customFormat="1">
      <c r="K357" s="1539"/>
      <c r="P357" s="461"/>
      <c r="Q357" s="461"/>
      <c r="R357" s="461"/>
    </row>
    <row r="358" spans="11:18" s="368" customFormat="1">
      <c r="K358" s="1539"/>
      <c r="P358" s="461"/>
      <c r="Q358" s="461"/>
      <c r="R358" s="461"/>
    </row>
    <row r="359" spans="11:18" s="368" customFormat="1">
      <c r="K359" s="1539"/>
      <c r="P359" s="461"/>
      <c r="Q359" s="461"/>
      <c r="R359" s="461"/>
    </row>
    <row r="360" spans="11:18" s="368" customFormat="1">
      <c r="K360" s="1539"/>
      <c r="P360" s="461"/>
      <c r="Q360" s="461"/>
      <c r="R360" s="461"/>
    </row>
    <row r="361" spans="11:18" s="368" customFormat="1">
      <c r="K361" s="1539"/>
      <c r="P361" s="461"/>
      <c r="Q361" s="461"/>
      <c r="R361" s="461"/>
    </row>
    <row r="362" spans="11:18" s="368" customFormat="1">
      <c r="K362" s="1539"/>
      <c r="P362" s="461"/>
      <c r="Q362" s="461"/>
      <c r="R362" s="461"/>
    </row>
    <row r="363" spans="11:18" s="368" customFormat="1">
      <c r="K363" s="1539"/>
      <c r="P363" s="461"/>
      <c r="Q363" s="461"/>
      <c r="R363" s="461"/>
    </row>
    <row r="364" spans="11:18" s="368" customFormat="1">
      <c r="K364" s="1539"/>
      <c r="P364" s="461"/>
      <c r="Q364" s="461"/>
      <c r="R364" s="461"/>
    </row>
    <row r="365" spans="11:18" s="368" customFormat="1">
      <c r="K365" s="1539"/>
      <c r="P365" s="461"/>
      <c r="Q365" s="461"/>
      <c r="R365" s="461"/>
    </row>
    <row r="366" spans="11:18" s="368" customFormat="1">
      <c r="K366" s="1539"/>
      <c r="P366" s="461"/>
      <c r="Q366" s="461"/>
      <c r="R366" s="461"/>
    </row>
    <row r="367" spans="11:18" s="368" customFormat="1">
      <c r="K367" s="1539"/>
      <c r="P367" s="461"/>
      <c r="Q367" s="461"/>
      <c r="R367" s="461"/>
    </row>
    <row r="368" spans="11:18" s="368" customFormat="1">
      <c r="K368" s="1539"/>
      <c r="P368" s="461"/>
      <c r="Q368" s="461"/>
      <c r="R368" s="461"/>
    </row>
    <row r="369" spans="11:18" s="368" customFormat="1">
      <c r="K369" s="1539"/>
      <c r="P369" s="461"/>
      <c r="Q369" s="461"/>
      <c r="R369" s="461"/>
    </row>
    <row r="370" spans="11:18" s="368" customFormat="1">
      <c r="K370" s="1539"/>
      <c r="P370" s="461"/>
      <c r="Q370" s="461"/>
      <c r="R370" s="461"/>
    </row>
    <row r="371" spans="11:18" s="368" customFormat="1">
      <c r="K371" s="1539"/>
      <c r="P371" s="461"/>
      <c r="Q371" s="461"/>
      <c r="R371" s="461"/>
    </row>
    <row r="372" spans="11:18" s="368" customFormat="1">
      <c r="K372" s="1539"/>
      <c r="P372" s="461"/>
      <c r="Q372" s="461"/>
      <c r="R372" s="461"/>
    </row>
    <row r="373" spans="11:18" s="368" customFormat="1">
      <c r="K373" s="1539"/>
      <c r="P373" s="461"/>
      <c r="Q373" s="461"/>
      <c r="R373" s="461"/>
    </row>
    <row r="374" spans="11:18" s="368" customFormat="1">
      <c r="K374" s="1539"/>
      <c r="P374" s="461"/>
      <c r="Q374" s="461"/>
      <c r="R374" s="461"/>
    </row>
    <row r="375" spans="11:18" s="368" customFormat="1">
      <c r="K375" s="1539"/>
      <c r="P375" s="461"/>
      <c r="Q375" s="461"/>
      <c r="R375" s="461"/>
    </row>
    <row r="376" spans="11:18" s="368" customFormat="1">
      <c r="K376" s="1539"/>
      <c r="P376" s="461"/>
      <c r="Q376" s="461"/>
      <c r="R376" s="461"/>
    </row>
    <row r="377" spans="11:18" s="368" customFormat="1">
      <c r="K377" s="1539"/>
      <c r="P377" s="461"/>
      <c r="Q377" s="461"/>
      <c r="R377" s="461"/>
    </row>
    <row r="378" spans="11:18" s="368" customFormat="1">
      <c r="K378" s="1539"/>
      <c r="P378" s="461"/>
      <c r="Q378" s="461"/>
      <c r="R378" s="461"/>
    </row>
    <row r="379" spans="11:18" s="368" customFormat="1">
      <c r="K379" s="1539"/>
      <c r="P379" s="461"/>
      <c r="Q379" s="461"/>
      <c r="R379" s="461"/>
    </row>
    <row r="380" spans="11:18" s="368" customFormat="1">
      <c r="K380" s="1539"/>
      <c r="P380" s="461"/>
      <c r="Q380" s="461"/>
      <c r="R380" s="461"/>
    </row>
    <row r="381" spans="11:18" s="368" customFormat="1">
      <c r="K381" s="1539"/>
      <c r="P381" s="461"/>
      <c r="Q381" s="461"/>
      <c r="R381" s="461"/>
    </row>
    <row r="382" spans="11:18" s="368" customFormat="1">
      <c r="K382" s="1539"/>
      <c r="P382" s="461"/>
      <c r="Q382" s="461"/>
      <c r="R382" s="461"/>
    </row>
    <row r="383" spans="11:18" s="368" customFormat="1">
      <c r="K383" s="1539"/>
      <c r="P383" s="461"/>
      <c r="Q383" s="461"/>
      <c r="R383" s="461"/>
    </row>
    <row r="384" spans="11:18" s="368" customFormat="1">
      <c r="K384" s="1539"/>
      <c r="P384" s="461"/>
      <c r="Q384" s="461"/>
      <c r="R384" s="461"/>
    </row>
    <row r="385" spans="11:18" s="368" customFormat="1">
      <c r="K385" s="1539"/>
      <c r="P385" s="461"/>
      <c r="Q385" s="461"/>
      <c r="R385" s="461"/>
    </row>
    <row r="386" spans="11:18" s="368" customFormat="1">
      <c r="K386" s="1539"/>
      <c r="P386" s="461"/>
      <c r="Q386" s="461"/>
      <c r="R386" s="461"/>
    </row>
    <row r="387" spans="11:18" s="368" customFormat="1">
      <c r="K387" s="1539"/>
      <c r="P387" s="461"/>
      <c r="Q387" s="461"/>
      <c r="R387" s="461"/>
    </row>
    <row r="388" spans="11:18" s="368" customFormat="1">
      <c r="K388" s="1539"/>
      <c r="P388" s="461"/>
      <c r="Q388" s="461"/>
      <c r="R388" s="461"/>
    </row>
    <row r="389" spans="11:18" s="368" customFormat="1">
      <c r="K389" s="1539"/>
      <c r="P389" s="461"/>
      <c r="Q389" s="461"/>
      <c r="R389" s="461"/>
    </row>
    <row r="390" spans="11:18" s="368" customFormat="1">
      <c r="K390" s="1539"/>
      <c r="P390" s="461"/>
      <c r="Q390" s="461"/>
      <c r="R390" s="461"/>
    </row>
    <row r="391" spans="11:18" s="368" customFormat="1">
      <c r="K391" s="1539"/>
      <c r="P391" s="461"/>
      <c r="Q391" s="461"/>
      <c r="R391" s="461"/>
    </row>
    <row r="392" spans="11:18" s="368" customFormat="1">
      <c r="K392" s="1539"/>
      <c r="P392" s="461"/>
      <c r="Q392" s="461"/>
      <c r="R392" s="461"/>
    </row>
    <row r="393" spans="11:18" s="368" customFormat="1">
      <c r="K393" s="1539"/>
      <c r="P393" s="461"/>
      <c r="Q393" s="461"/>
      <c r="R393" s="461"/>
    </row>
    <row r="394" spans="11:18" s="368" customFormat="1">
      <c r="K394" s="1539"/>
      <c r="P394" s="461"/>
      <c r="Q394" s="461"/>
      <c r="R394" s="461"/>
    </row>
    <row r="395" spans="11:18" s="368" customFormat="1">
      <c r="K395" s="1539"/>
      <c r="P395" s="461"/>
      <c r="Q395" s="461"/>
      <c r="R395" s="461"/>
    </row>
    <row r="396" spans="11:18" s="368" customFormat="1">
      <c r="K396" s="1539"/>
      <c r="P396" s="461"/>
      <c r="Q396" s="461"/>
      <c r="R396" s="461"/>
    </row>
    <row r="397" spans="11:18" s="368" customFormat="1">
      <c r="K397" s="1539"/>
      <c r="P397" s="461"/>
      <c r="Q397" s="461"/>
      <c r="R397" s="461"/>
    </row>
    <row r="398" spans="11:18" s="368" customFormat="1">
      <c r="K398" s="1539"/>
      <c r="P398" s="461"/>
      <c r="Q398" s="461"/>
      <c r="R398" s="461"/>
    </row>
    <row r="399" spans="11:18" s="368" customFormat="1">
      <c r="K399" s="1539"/>
      <c r="P399" s="461"/>
      <c r="Q399" s="461"/>
      <c r="R399" s="461"/>
    </row>
    <row r="400" spans="11:18" s="368" customFormat="1">
      <c r="K400" s="1539"/>
      <c r="P400" s="461"/>
      <c r="Q400" s="461"/>
      <c r="R400" s="461"/>
    </row>
    <row r="401" spans="11:18" s="368" customFormat="1">
      <c r="K401" s="1539"/>
      <c r="P401" s="461"/>
      <c r="Q401" s="461"/>
      <c r="R401" s="461"/>
    </row>
    <row r="402" spans="11:18" s="368" customFormat="1">
      <c r="K402" s="1539"/>
      <c r="P402" s="461"/>
      <c r="Q402" s="461"/>
      <c r="R402" s="461"/>
    </row>
    <row r="403" spans="11:18" s="368" customFormat="1">
      <c r="K403" s="1539"/>
      <c r="P403" s="461"/>
      <c r="Q403" s="461"/>
      <c r="R403" s="461"/>
    </row>
    <row r="404" spans="11:18" s="368" customFormat="1">
      <c r="K404" s="1539"/>
      <c r="P404" s="461"/>
      <c r="Q404" s="461"/>
      <c r="R404" s="461"/>
    </row>
    <row r="405" spans="11:18" s="368" customFormat="1">
      <c r="K405" s="1539"/>
      <c r="P405" s="461"/>
      <c r="Q405" s="461"/>
      <c r="R405" s="461"/>
    </row>
    <row r="406" spans="11:18" s="368" customFormat="1">
      <c r="K406" s="1539"/>
      <c r="P406" s="461"/>
      <c r="Q406" s="461"/>
      <c r="R406" s="461"/>
    </row>
    <row r="407" spans="11:18" s="368" customFormat="1">
      <c r="K407" s="1539"/>
      <c r="P407" s="461"/>
      <c r="Q407" s="461"/>
      <c r="R407" s="461"/>
    </row>
    <row r="408" spans="11:18" s="368" customFormat="1">
      <c r="K408" s="1539"/>
      <c r="P408" s="461"/>
      <c r="Q408" s="461"/>
      <c r="R408" s="461"/>
    </row>
    <row r="409" spans="11:18" s="368" customFormat="1">
      <c r="K409" s="1539"/>
      <c r="P409" s="461"/>
      <c r="Q409" s="461"/>
      <c r="R409" s="461"/>
    </row>
    <row r="410" spans="11:18" s="368" customFormat="1">
      <c r="K410" s="1539"/>
      <c r="P410" s="461"/>
      <c r="Q410" s="461"/>
      <c r="R410" s="461"/>
    </row>
    <row r="411" spans="11:18" s="368" customFormat="1">
      <c r="K411" s="1539"/>
      <c r="P411" s="461"/>
      <c r="Q411" s="461"/>
      <c r="R411" s="461"/>
    </row>
    <row r="412" spans="11:18" s="368" customFormat="1">
      <c r="K412" s="1539"/>
      <c r="P412" s="461"/>
      <c r="Q412" s="461"/>
      <c r="R412" s="461"/>
    </row>
    <row r="413" spans="11:18" s="368" customFormat="1">
      <c r="K413" s="1539"/>
      <c r="P413" s="461"/>
      <c r="Q413" s="461"/>
      <c r="R413" s="461"/>
    </row>
    <row r="414" spans="11:18" s="368" customFormat="1">
      <c r="K414" s="1539"/>
      <c r="P414" s="461"/>
      <c r="Q414" s="461"/>
      <c r="R414" s="461"/>
    </row>
    <row r="415" spans="11:18" s="368" customFormat="1">
      <c r="K415" s="1539"/>
      <c r="P415" s="461"/>
      <c r="Q415" s="461"/>
      <c r="R415" s="461"/>
    </row>
    <row r="416" spans="11:18" s="368" customFormat="1">
      <c r="K416" s="1539"/>
      <c r="P416" s="461"/>
      <c r="Q416" s="461"/>
      <c r="R416" s="461"/>
    </row>
    <row r="417" spans="11:18" s="368" customFormat="1">
      <c r="K417" s="1539"/>
      <c r="P417" s="461"/>
      <c r="Q417" s="461"/>
      <c r="R417" s="461"/>
    </row>
    <row r="418" spans="11:18" s="368" customFormat="1">
      <c r="K418" s="1539"/>
      <c r="P418" s="461"/>
      <c r="Q418" s="461"/>
      <c r="R418" s="461"/>
    </row>
    <row r="419" spans="11:18" s="368" customFormat="1">
      <c r="K419" s="1539"/>
      <c r="P419" s="461"/>
      <c r="Q419" s="461"/>
      <c r="R419" s="461"/>
    </row>
    <row r="420" spans="11:18" s="368" customFormat="1">
      <c r="K420" s="1539"/>
      <c r="P420" s="461"/>
      <c r="Q420" s="461"/>
      <c r="R420" s="461"/>
    </row>
    <row r="421" spans="11:18" s="368" customFormat="1">
      <c r="K421" s="1539"/>
      <c r="P421" s="461"/>
      <c r="Q421" s="461"/>
      <c r="R421" s="461"/>
    </row>
    <row r="422" spans="11:18" s="368" customFormat="1">
      <c r="K422" s="1539"/>
      <c r="P422" s="461"/>
      <c r="Q422" s="461"/>
      <c r="R422" s="461"/>
    </row>
    <row r="423" spans="11:18" s="368" customFormat="1">
      <c r="K423" s="1539"/>
      <c r="P423" s="461"/>
      <c r="Q423" s="461"/>
      <c r="R423" s="461"/>
    </row>
    <row r="424" spans="11:18" s="368" customFormat="1">
      <c r="K424" s="1539"/>
      <c r="P424" s="461"/>
      <c r="Q424" s="461"/>
      <c r="R424" s="461"/>
    </row>
    <row r="425" spans="11:18" s="368" customFormat="1">
      <c r="K425" s="1539"/>
      <c r="P425" s="461"/>
      <c r="Q425" s="461"/>
      <c r="R425" s="461"/>
    </row>
    <row r="426" spans="11:18" s="368" customFormat="1">
      <c r="K426" s="1539"/>
      <c r="P426" s="461"/>
      <c r="Q426" s="461"/>
      <c r="R426" s="461"/>
    </row>
    <row r="427" spans="11:18" s="368" customFormat="1">
      <c r="K427" s="1539"/>
      <c r="P427" s="461"/>
      <c r="Q427" s="461"/>
      <c r="R427" s="461"/>
    </row>
    <row r="428" spans="11:18" s="368" customFormat="1">
      <c r="K428" s="1539"/>
      <c r="P428" s="461"/>
      <c r="Q428" s="461"/>
      <c r="R428" s="461"/>
    </row>
    <row r="429" spans="11:18" s="368" customFormat="1">
      <c r="K429" s="1539"/>
      <c r="P429" s="461"/>
      <c r="Q429" s="461"/>
      <c r="R429" s="461"/>
    </row>
    <row r="430" spans="11:18" s="368" customFormat="1">
      <c r="K430" s="1539"/>
      <c r="P430" s="461"/>
      <c r="Q430" s="461"/>
      <c r="R430" s="461"/>
    </row>
    <row r="431" spans="11:18" s="368" customFormat="1">
      <c r="K431" s="1539"/>
      <c r="P431" s="461"/>
      <c r="Q431" s="461"/>
      <c r="R431" s="461"/>
    </row>
    <row r="432" spans="11:18" s="368" customFormat="1">
      <c r="K432" s="1539"/>
      <c r="P432" s="461"/>
      <c r="Q432" s="461"/>
      <c r="R432" s="461"/>
    </row>
    <row r="433" spans="11:18" s="368" customFormat="1">
      <c r="K433" s="1539"/>
      <c r="P433" s="461"/>
      <c r="Q433" s="461"/>
      <c r="R433" s="461"/>
    </row>
    <row r="434" spans="11:18" s="368" customFormat="1">
      <c r="K434" s="1539"/>
      <c r="P434" s="461"/>
      <c r="Q434" s="461"/>
      <c r="R434" s="461"/>
    </row>
    <row r="435" spans="11:18" s="368" customFormat="1">
      <c r="K435" s="1539"/>
      <c r="P435" s="461"/>
      <c r="Q435" s="461"/>
      <c r="R435" s="461"/>
    </row>
    <row r="436" spans="11:18" s="368" customFormat="1">
      <c r="K436" s="1539"/>
      <c r="P436" s="461"/>
      <c r="Q436" s="461"/>
      <c r="R436" s="461"/>
    </row>
    <row r="437" spans="11:18" s="368" customFormat="1">
      <c r="K437" s="1539"/>
      <c r="P437" s="461"/>
      <c r="Q437" s="461"/>
      <c r="R437" s="461"/>
    </row>
    <row r="438" spans="11:18" s="368" customFormat="1">
      <c r="K438" s="1539"/>
      <c r="P438" s="461"/>
      <c r="Q438" s="461"/>
      <c r="R438" s="461"/>
    </row>
    <row r="439" spans="11:18" s="368" customFormat="1">
      <c r="K439" s="1539"/>
      <c r="P439" s="461"/>
      <c r="Q439" s="461"/>
      <c r="R439" s="461"/>
    </row>
    <row r="440" spans="11:18" s="368" customFormat="1">
      <c r="K440" s="1539"/>
      <c r="P440" s="461"/>
      <c r="Q440" s="461"/>
      <c r="R440" s="461"/>
    </row>
    <row r="441" spans="11:18" s="368" customFormat="1">
      <c r="K441" s="1539"/>
      <c r="P441" s="461"/>
      <c r="Q441" s="461"/>
      <c r="R441" s="461"/>
    </row>
    <row r="442" spans="11:18" s="368" customFormat="1">
      <c r="K442" s="1539"/>
      <c r="P442" s="461"/>
      <c r="Q442" s="461"/>
      <c r="R442" s="461"/>
    </row>
    <row r="443" spans="11:18" s="368" customFormat="1">
      <c r="K443" s="1539"/>
      <c r="P443" s="461"/>
      <c r="Q443" s="461"/>
      <c r="R443" s="461"/>
    </row>
    <row r="444" spans="11:18" s="368" customFormat="1">
      <c r="K444" s="1539"/>
      <c r="P444" s="461"/>
      <c r="Q444" s="461"/>
      <c r="R444" s="461"/>
    </row>
    <row r="445" spans="11:18" s="368" customFormat="1">
      <c r="K445" s="1539"/>
      <c r="P445" s="461"/>
      <c r="Q445" s="461"/>
      <c r="R445" s="461"/>
    </row>
    <row r="446" spans="11:18" s="368" customFormat="1">
      <c r="K446" s="1539"/>
      <c r="P446" s="461"/>
      <c r="Q446" s="461"/>
      <c r="R446" s="461"/>
    </row>
    <row r="447" spans="11:18" s="368" customFormat="1">
      <c r="K447" s="1539"/>
      <c r="P447" s="461"/>
      <c r="Q447" s="461"/>
      <c r="R447" s="461"/>
    </row>
    <row r="448" spans="11:18" s="368" customFormat="1">
      <c r="K448" s="1539"/>
      <c r="P448" s="461"/>
      <c r="Q448" s="461"/>
      <c r="R448" s="461"/>
    </row>
    <row r="449" spans="11:18" s="368" customFormat="1">
      <c r="K449" s="1539"/>
      <c r="P449" s="461"/>
      <c r="Q449" s="461"/>
      <c r="R449" s="461"/>
    </row>
    <row r="450" spans="11:18" s="368" customFormat="1">
      <c r="K450" s="1539"/>
      <c r="P450" s="461"/>
      <c r="Q450" s="461"/>
      <c r="R450" s="461"/>
    </row>
    <row r="451" spans="11:18" s="368" customFormat="1">
      <c r="K451" s="1539"/>
      <c r="P451" s="461"/>
      <c r="Q451" s="461"/>
      <c r="R451" s="461"/>
    </row>
    <row r="452" spans="11:18" s="368" customFormat="1">
      <c r="K452" s="1539"/>
      <c r="P452" s="461"/>
      <c r="Q452" s="461"/>
      <c r="R452" s="461"/>
    </row>
    <row r="453" spans="11:18" s="368" customFormat="1">
      <c r="K453" s="1539"/>
      <c r="P453" s="461"/>
      <c r="Q453" s="461"/>
      <c r="R453" s="461"/>
    </row>
    <row r="454" spans="11:18" s="368" customFormat="1">
      <c r="K454" s="1539"/>
      <c r="P454" s="461"/>
      <c r="Q454" s="461"/>
      <c r="R454" s="461"/>
    </row>
    <row r="455" spans="11:18" s="368" customFormat="1">
      <c r="K455" s="1539"/>
      <c r="P455" s="461"/>
      <c r="Q455" s="461"/>
      <c r="R455" s="461"/>
    </row>
    <row r="456" spans="11:18" s="368" customFormat="1">
      <c r="K456" s="1539"/>
      <c r="P456" s="461"/>
      <c r="Q456" s="461"/>
      <c r="R456" s="461"/>
    </row>
    <row r="457" spans="11:18" s="368" customFormat="1">
      <c r="K457" s="1539"/>
      <c r="P457" s="461"/>
      <c r="Q457" s="461"/>
      <c r="R457" s="461"/>
    </row>
    <row r="458" spans="11:18" s="368" customFormat="1">
      <c r="K458" s="1539"/>
      <c r="P458" s="461"/>
      <c r="Q458" s="461"/>
      <c r="R458" s="461"/>
    </row>
    <row r="459" spans="11:18" s="368" customFormat="1">
      <c r="K459" s="1539"/>
      <c r="P459" s="461"/>
      <c r="Q459" s="461"/>
      <c r="R459" s="461"/>
    </row>
    <row r="460" spans="11:18" s="368" customFormat="1">
      <c r="K460" s="1539"/>
      <c r="P460" s="461"/>
      <c r="Q460" s="461"/>
      <c r="R460" s="461"/>
    </row>
    <row r="461" spans="11:18" s="368" customFormat="1">
      <c r="K461" s="1539"/>
      <c r="P461" s="461"/>
      <c r="Q461" s="461"/>
      <c r="R461" s="461"/>
    </row>
    <row r="462" spans="11:18" s="368" customFormat="1">
      <c r="K462" s="1539"/>
      <c r="P462" s="461"/>
      <c r="Q462" s="461"/>
      <c r="R462" s="461"/>
    </row>
    <row r="463" spans="11:18" s="368" customFormat="1">
      <c r="K463" s="1539"/>
      <c r="P463" s="461"/>
      <c r="Q463" s="461"/>
      <c r="R463" s="461"/>
    </row>
    <row r="464" spans="11:18" s="368" customFormat="1">
      <c r="K464" s="1539"/>
      <c r="P464" s="461"/>
      <c r="Q464" s="461"/>
      <c r="R464" s="461"/>
    </row>
    <row r="465" spans="11:18" s="368" customFormat="1">
      <c r="K465" s="1539"/>
      <c r="P465" s="461"/>
      <c r="Q465" s="461"/>
      <c r="R465" s="461"/>
    </row>
    <row r="466" spans="11:18" s="368" customFormat="1">
      <c r="K466" s="1539"/>
      <c r="P466" s="461"/>
      <c r="Q466" s="461"/>
      <c r="R466" s="461"/>
    </row>
    <row r="467" spans="11:18" s="368" customFormat="1">
      <c r="K467" s="1539"/>
      <c r="P467" s="461"/>
      <c r="Q467" s="461"/>
      <c r="R467" s="461"/>
    </row>
    <row r="468" spans="11:18" s="368" customFormat="1">
      <c r="K468" s="1539"/>
      <c r="P468" s="461"/>
      <c r="Q468" s="461"/>
      <c r="R468" s="461"/>
    </row>
    <row r="469" spans="11:18" s="368" customFormat="1">
      <c r="K469" s="1539"/>
      <c r="P469" s="461"/>
      <c r="Q469" s="461"/>
      <c r="R469" s="461"/>
    </row>
    <row r="470" spans="11:18" s="368" customFormat="1">
      <c r="K470" s="1539"/>
      <c r="P470" s="461"/>
      <c r="Q470" s="461"/>
      <c r="R470" s="461"/>
    </row>
    <row r="471" spans="11:18" s="368" customFormat="1">
      <c r="K471" s="1539"/>
      <c r="P471" s="461"/>
      <c r="Q471" s="461"/>
      <c r="R471" s="461"/>
    </row>
    <row r="472" spans="11:18" s="368" customFormat="1">
      <c r="K472" s="1539"/>
      <c r="P472" s="461"/>
      <c r="Q472" s="461"/>
      <c r="R472" s="461"/>
    </row>
    <row r="473" spans="11:18" s="368" customFormat="1">
      <c r="K473" s="1539"/>
      <c r="P473" s="461"/>
      <c r="Q473" s="461"/>
      <c r="R473" s="461"/>
    </row>
    <row r="474" spans="11:18" s="368" customFormat="1">
      <c r="K474" s="1539"/>
      <c r="P474" s="461"/>
      <c r="Q474" s="461"/>
      <c r="R474" s="461"/>
    </row>
    <row r="475" spans="11:18" s="368" customFormat="1">
      <c r="K475" s="1539"/>
      <c r="P475" s="461"/>
      <c r="Q475" s="461"/>
      <c r="R475" s="461"/>
    </row>
    <row r="476" spans="11:18" s="368" customFormat="1">
      <c r="K476" s="1539"/>
      <c r="P476" s="461"/>
      <c r="Q476" s="461"/>
      <c r="R476" s="461"/>
    </row>
    <row r="477" spans="11:18" s="368" customFormat="1">
      <c r="K477" s="1539"/>
      <c r="P477" s="461"/>
      <c r="Q477" s="461"/>
      <c r="R477" s="461"/>
    </row>
    <row r="478" spans="11:18" s="368" customFormat="1">
      <c r="K478" s="1539"/>
      <c r="P478" s="461"/>
      <c r="Q478" s="461"/>
      <c r="R478" s="461"/>
    </row>
    <row r="479" spans="11:18" s="368" customFormat="1">
      <c r="K479" s="1539"/>
      <c r="P479" s="461"/>
      <c r="Q479" s="461"/>
      <c r="R479" s="461"/>
    </row>
    <row r="480" spans="11:18" s="368" customFormat="1">
      <c r="K480" s="1539"/>
      <c r="P480" s="461"/>
      <c r="Q480" s="461"/>
      <c r="R480" s="461"/>
    </row>
    <row r="481" spans="11:18" s="368" customFormat="1">
      <c r="K481" s="1539"/>
      <c r="P481" s="461"/>
      <c r="Q481" s="461"/>
      <c r="R481" s="461"/>
    </row>
    <row r="482" spans="11:18" s="368" customFormat="1">
      <c r="K482" s="1539"/>
      <c r="P482" s="461"/>
      <c r="Q482" s="461"/>
      <c r="R482" s="461"/>
    </row>
    <row r="483" spans="11:18" s="368" customFormat="1">
      <c r="K483" s="1539"/>
      <c r="P483" s="461"/>
      <c r="Q483" s="461"/>
      <c r="R483" s="461"/>
    </row>
    <row r="484" spans="11:18" s="368" customFormat="1">
      <c r="K484" s="1539"/>
      <c r="P484" s="461"/>
      <c r="Q484" s="461"/>
      <c r="R484" s="461"/>
    </row>
    <row r="485" spans="11:18" s="368" customFormat="1">
      <c r="K485" s="1539"/>
      <c r="P485" s="461"/>
      <c r="Q485" s="461"/>
      <c r="R485" s="461"/>
    </row>
    <row r="486" spans="11:18" s="368" customFormat="1">
      <c r="K486" s="1539"/>
      <c r="P486" s="461"/>
      <c r="Q486" s="461"/>
      <c r="R486" s="461"/>
    </row>
    <row r="487" spans="11:18" s="368" customFormat="1">
      <c r="K487" s="1539"/>
      <c r="P487" s="461"/>
      <c r="Q487" s="461"/>
      <c r="R487" s="461"/>
    </row>
    <row r="488" spans="11:18" s="368" customFormat="1">
      <c r="K488" s="1539"/>
      <c r="P488" s="461"/>
      <c r="Q488" s="461"/>
      <c r="R488" s="461"/>
    </row>
    <row r="489" spans="11:18" s="368" customFormat="1">
      <c r="K489" s="1539"/>
      <c r="P489" s="461"/>
      <c r="Q489" s="461"/>
      <c r="R489" s="461"/>
    </row>
    <row r="490" spans="11:18" s="368" customFormat="1">
      <c r="K490" s="1539"/>
      <c r="P490" s="461"/>
      <c r="Q490" s="461"/>
      <c r="R490" s="461"/>
    </row>
    <row r="491" spans="11:18" s="368" customFormat="1">
      <c r="K491" s="1539"/>
      <c r="P491" s="461"/>
      <c r="Q491" s="461"/>
      <c r="R491" s="461"/>
    </row>
    <row r="492" spans="11:18" s="368" customFormat="1">
      <c r="K492" s="1539"/>
      <c r="P492" s="461"/>
      <c r="Q492" s="461"/>
      <c r="R492" s="461"/>
    </row>
    <row r="493" spans="11:18" s="368" customFormat="1">
      <c r="K493" s="1539"/>
      <c r="P493" s="461"/>
      <c r="Q493" s="461"/>
      <c r="R493" s="461"/>
    </row>
    <row r="494" spans="11:18" s="368" customFormat="1">
      <c r="K494" s="1539"/>
      <c r="P494" s="461"/>
      <c r="Q494" s="461"/>
      <c r="R494" s="461"/>
    </row>
    <row r="495" spans="11:18" s="368" customFormat="1">
      <c r="K495" s="1539"/>
      <c r="P495" s="461"/>
      <c r="Q495" s="461"/>
      <c r="R495" s="461"/>
    </row>
    <row r="496" spans="11:18" s="368" customFormat="1">
      <c r="K496" s="1539"/>
      <c r="P496" s="461"/>
      <c r="Q496" s="461"/>
      <c r="R496" s="461"/>
    </row>
    <row r="497" spans="11:18" s="368" customFormat="1">
      <c r="K497" s="1539"/>
      <c r="P497" s="461"/>
      <c r="Q497" s="461"/>
      <c r="R497" s="461"/>
    </row>
    <row r="498" spans="11:18" s="368" customFormat="1">
      <c r="K498" s="1539"/>
      <c r="P498" s="461"/>
      <c r="Q498" s="461"/>
      <c r="R498" s="461"/>
    </row>
    <row r="499" spans="11:18" s="368" customFormat="1">
      <c r="K499" s="1539"/>
      <c r="P499" s="461"/>
      <c r="Q499" s="461"/>
      <c r="R499" s="461"/>
    </row>
    <row r="500" spans="11:18" s="368" customFormat="1">
      <c r="K500" s="1539"/>
      <c r="P500" s="461"/>
      <c r="Q500" s="461"/>
      <c r="R500" s="461"/>
    </row>
    <row r="501" spans="11:18" s="368" customFormat="1">
      <c r="K501" s="1539"/>
      <c r="P501" s="461"/>
      <c r="Q501" s="461"/>
      <c r="R501" s="461"/>
    </row>
    <row r="502" spans="11:18" s="368" customFormat="1">
      <c r="K502" s="1539"/>
      <c r="P502" s="461"/>
      <c r="Q502" s="461"/>
      <c r="R502" s="461"/>
    </row>
    <row r="503" spans="11:18" s="368" customFormat="1">
      <c r="K503" s="1539"/>
      <c r="P503" s="461"/>
      <c r="Q503" s="461"/>
      <c r="R503" s="461"/>
    </row>
    <row r="504" spans="11:18" s="368" customFormat="1">
      <c r="K504" s="1539"/>
      <c r="P504" s="461"/>
      <c r="Q504" s="461"/>
      <c r="R504" s="461"/>
    </row>
    <row r="505" spans="11:18" s="368" customFormat="1">
      <c r="K505" s="1539"/>
      <c r="P505" s="461"/>
      <c r="Q505" s="461"/>
      <c r="R505" s="461"/>
    </row>
    <row r="506" spans="11:18" s="368" customFormat="1">
      <c r="K506" s="1539"/>
      <c r="P506" s="461"/>
      <c r="Q506" s="461"/>
      <c r="R506" s="461"/>
    </row>
    <row r="507" spans="11:18" s="368" customFormat="1">
      <c r="K507" s="1539"/>
      <c r="P507" s="461"/>
      <c r="Q507" s="461"/>
      <c r="R507" s="461"/>
    </row>
    <row r="508" spans="11:18" s="368" customFormat="1">
      <c r="K508" s="1539"/>
      <c r="P508" s="461"/>
      <c r="Q508" s="461"/>
      <c r="R508" s="461"/>
    </row>
    <row r="509" spans="11:18" s="368" customFormat="1">
      <c r="K509" s="1539"/>
      <c r="P509" s="461"/>
      <c r="Q509" s="461"/>
      <c r="R509" s="461"/>
    </row>
    <row r="510" spans="11:18" s="368" customFormat="1">
      <c r="K510" s="1539"/>
      <c r="P510" s="461"/>
      <c r="Q510" s="461"/>
      <c r="R510" s="461"/>
    </row>
    <row r="511" spans="11:18" s="368" customFormat="1">
      <c r="K511" s="1539"/>
      <c r="P511" s="461"/>
      <c r="Q511" s="461"/>
      <c r="R511" s="461"/>
    </row>
    <row r="512" spans="11:18" s="368" customFormat="1">
      <c r="K512" s="1539"/>
      <c r="P512" s="461"/>
      <c r="Q512" s="461"/>
      <c r="R512" s="461"/>
    </row>
    <row r="513" spans="11:18" s="368" customFormat="1">
      <c r="K513" s="1539"/>
      <c r="P513" s="461"/>
      <c r="Q513" s="461"/>
      <c r="R513" s="461"/>
    </row>
    <row r="514" spans="11:18" s="368" customFormat="1">
      <c r="K514" s="1539"/>
      <c r="P514" s="461"/>
      <c r="Q514" s="461"/>
      <c r="R514" s="461"/>
    </row>
    <row r="515" spans="11:18" s="368" customFormat="1">
      <c r="K515" s="1539"/>
      <c r="P515" s="461"/>
      <c r="Q515" s="461"/>
      <c r="R515" s="461"/>
    </row>
    <row r="516" spans="11:18" s="368" customFormat="1">
      <c r="K516" s="1539"/>
      <c r="P516" s="461"/>
      <c r="Q516" s="461"/>
      <c r="R516" s="461"/>
    </row>
    <row r="517" spans="11:18" s="368" customFormat="1">
      <c r="K517" s="1539"/>
      <c r="P517" s="461"/>
      <c r="Q517" s="461"/>
      <c r="R517" s="461"/>
    </row>
    <row r="518" spans="11:18" s="368" customFormat="1">
      <c r="K518" s="1539"/>
      <c r="P518" s="461"/>
      <c r="Q518" s="461"/>
      <c r="R518" s="461"/>
    </row>
    <row r="519" spans="11:18" s="368" customFormat="1">
      <c r="K519" s="1539"/>
      <c r="P519" s="461"/>
      <c r="Q519" s="461"/>
      <c r="R519" s="461"/>
    </row>
    <row r="520" spans="11:18" s="368" customFormat="1">
      <c r="K520" s="1539"/>
      <c r="P520" s="461"/>
      <c r="Q520" s="461"/>
      <c r="R520" s="461"/>
    </row>
    <row r="521" spans="11:18" s="368" customFormat="1">
      <c r="K521" s="1539"/>
      <c r="P521" s="461"/>
      <c r="Q521" s="461"/>
      <c r="R521" s="461"/>
    </row>
    <row r="522" spans="11:18" s="368" customFormat="1">
      <c r="K522" s="1539"/>
      <c r="P522" s="461"/>
      <c r="Q522" s="461"/>
      <c r="R522" s="461"/>
    </row>
    <row r="523" spans="11:18" s="368" customFormat="1">
      <c r="K523" s="1539"/>
      <c r="P523" s="461"/>
      <c r="Q523" s="461"/>
      <c r="R523" s="461"/>
    </row>
    <row r="524" spans="11:18" s="368" customFormat="1">
      <c r="K524" s="1539"/>
      <c r="P524" s="461"/>
      <c r="Q524" s="461"/>
      <c r="R524" s="461"/>
    </row>
    <row r="525" spans="11:18" s="368" customFormat="1">
      <c r="K525" s="1539"/>
      <c r="P525" s="461"/>
      <c r="Q525" s="461"/>
      <c r="R525" s="461"/>
    </row>
    <row r="526" spans="11:18" s="368" customFormat="1">
      <c r="K526" s="1539"/>
      <c r="P526" s="461"/>
      <c r="Q526" s="461"/>
      <c r="R526" s="461"/>
    </row>
    <row r="527" spans="11:18" s="368" customFormat="1">
      <c r="K527" s="1539"/>
      <c r="P527" s="461"/>
      <c r="Q527" s="461"/>
      <c r="R527" s="461"/>
    </row>
    <row r="528" spans="11:18" s="368" customFormat="1">
      <c r="K528" s="1539"/>
      <c r="P528" s="461"/>
      <c r="Q528" s="461"/>
      <c r="R528" s="461"/>
    </row>
    <row r="529" spans="11:18" s="368" customFormat="1">
      <c r="K529" s="1539"/>
      <c r="P529" s="461"/>
      <c r="Q529" s="461"/>
      <c r="R529" s="461"/>
    </row>
    <row r="530" spans="11:18" s="368" customFormat="1">
      <c r="K530" s="1539"/>
      <c r="P530" s="461"/>
      <c r="Q530" s="461"/>
      <c r="R530" s="461"/>
    </row>
    <row r="531" spans="11:18" s="368" customFormat="1">
      <c r="K531" s="1539"/>
      <c r="P531" s="461"/>
      <c r="Q531" s="461"/>
      <c r="R531" s="461"/>
    </row>
    <row r="532" spans="11:18" s="368" customFormat="1">
      <c r="K532" s="1539"/>
      <c r="P532" s="461"/>
      <c r="Q532" s="461"/>
      <c r="R532" s="461"/>
    </row>
    <row r="533" spans="11:18" s="368" customFormat="1">
      <c r="K533" s="1539"/>
      <c r="P533" s="461"/>
      <c r="Q533" s="461"/>
      <c r="R533" s="461"/>
    </row>
    <row r="534" spans="11:18" s="368" customFormat="1">
      <c r="K534" s="1539"/>
      <c r="P534" s="461"/>
      <c r="Q534" s="461"/>
      <c r="R534" s="461"/>
    </row>
    <row r="535" spans="11:18" s="368" customFormat="1">
      <c r="K535" s="1539"/>
      <c r="P535" s="461"/>
      <c r="Q535" s="461"/>
      <c r="R535" s="461"/>
    </row>
    <row r="536" spans="11:18" s="368" customFormat="1">
      <c r="K536" s="1539"/>
      <c r="P536" s="461"/>
      <c r="Q536" s="461"/>
      <c r="R536" s="461"/>
    </row>
    <row r="537" spans="11:18" s="368" customFormat="1">
      <c r="K537" s="1539"/>
      <c r="P537" s="461"/>
      <c r="Q537" s="461"/>
      <c r="R537" s="461"/>
    </row>
    <row r="538" spans="11:18" s="368" customFormat="1">
      <c r="K538" s="1539"/>
      <c r="P538" s="461"/>
      <c r="Q538" s="461"/>
      <c r="R538" s="461"/>
    </row>
    <row r="539" spans="11:18" s="368" customFormat="1">
      <c r="K539" s="1539"/>
      <c r="P539" s="461"/>
      <c r="Q539" s="461"/>
      <c r="R539" s="461"/>
    </row>
    <row r="540" spans="11:18" s="368" customFormat="1">
      <c r="K540" s="1539"/>
      <c r="P540" s="461"/>
      <c r="Q540" s="461"/>
      <c r="R540" s="461"/>
    </row>
    <row r="541" spans="11:18" s="368" customFormat="1">
      <c r="K541" s="1539"/>
      <c r="P541" s="461"/>
      <c r="Q541" s="461"/>
      <c r="R541" s="461"/>
    </row>
    <row r="542" spans="11:18" s="368" customFormat="1">
      <c r="K542" s="1539"/>
      <c r="P542" s="461"/>
      <c r="Q542" s="461"/>
      <c r="R542" s="461"/>
    </row>
    <row r="543" spans="11:18" s="368" customFormat="1">
      <c r="K543" s="1539"/>
      <c r="P543" s="461"/>
      <c r="Q543" s="461"/>
      <c r="R543" s="461"/>
    </row>
    <row r="544" spans="11:18" s="368" customFormat="1">
      <c r="K544" s="1539"/>
      <c r="P544" s="461"/>
      <c r="Q544" s="461"/>
      <c r="R544" s="461"/>
    </row>
    <row r="545" spans="11:18" s="368" customFormat="1">
      <c r="K545" s="1539"/>
      <c r="P545" s="461"/>
      <c r="Q545" s="461"/>
      <c r="R545" s="461"/>
    </row>
    <row r="546" spans="11:18" s="368" customFormat="1">
      <c r="K546" s="1539"/>
      <c r="P546" s="461"/>
      <c r="Q546" s="461"/>
      <c r="R546" s="461"/>
    </row>
    <row r="547" spans="11:18" s="368" customFormat="1">
      <c r="K547" s="1539"/>
      <c r="P547" s="461"/>
      <c r="Q547" s="461"/>
      <c r="R547" s="461"/>
    </row>
    <row r="548" spans="11:18" s="368" customFormat="1">
      <c r="K548" s="1539"/>
      <c r="P548" s="461"/>
      <c r="Q548" s="461"/>
      <c r="R548" s="461"/>
    </row>
    <row r="549" spans="11:18" s="368" customFormat="1">
      <c r="K549" s="1539"/>
      <c r="P549" s="461"/>
      <c r="Q549" s="461"/>
      <c r="R549" s="461"/>
    </row>
    <row r="550" spans="11:18" s="368" customFormat="1">
      <c r="K550" s="1539"/>
      <c r="P550" s="461"/>
      <c r="Q550" s="461"/>
      <c r="R550" s="461"/>
    </row>
    <row r="551" spans="11:18" s="368" customFormat="1">
      <c r="K551" s="1539"/>
      <c r="P551" s="461"/>
      <c r="Q551" s="461"/>
      <c r="R551" s="461"/>
    </row>
    <row r="552" spans="11:18" s="368" customFormat="1">
      <c r="K552" s="1539"/>
      <c r="P552" s="461"/>
      <c r="Q552" s="461"/>
      <c r="R552" s="461"/>
    </row>
    <row r="553" spans="11:18" s="368" customFormat="1">
      <c r="K553" s="1539"/>
      <c r="P553" s="461"/>
      <c r="Q553" s="461"/>
      <c r="R553" s="461"/>
    </row>
    <row r="554" spans="11:18" s="368" customFormat="1">
      <c r="K554" s="1539"/>
      <c r="P554" s="461"/>
      <c r="Q554" s="461"/>
      <c r="R554" s="461"/>
    </row>
    <row r="555" spans="11:18" s="368" customFormat="1">
      <c r="K555" s="1539"/>
      <c r="P555" s="461"/>
      <c r="Q555" s="461"/>
      <c r="R555" s="461"/>
    </row>
    <row r="556" spans="11:18" s="368" customFormat="1">
      <c r="K556" s="1539"/>
      <c r="P556" s="461"/>
      <c r="Q556" s="461"/>
      <c r="R556" s="461"/>
    </row>
    <row r="557" spans="11:18" s="368" customFormat="1">
      <c r="K557" s="1539"/>
      <c r="P557" s="461"/>
      <c r="Q557" s="461"/>
      <c r="R557" s="461"/>
    </row>
    <row r="558" spans="11:18" s="368" customFormat="1">
      <c r="K558" s="1539"/>
      <c r="P558" s="461"/>
      <c r="Q558" s="461"/>
      <c r="R558" s="461"/>
    </row>
    <row r="559" spans="11:18" s="368" customFormat="1">
      <c r="K559" s="1539"/>
      <c r="P559" s="461"/>
      <c r="Q559" s="461"/>
      <c r="R559" s="461"/>
    </row>
    <row r="560" spans="11:18" s="368" customFormat="1">
      <c r="K560" s="1539"/>
      <c r="P560" s="461"/>
      <c r="Q560" s="461"/>
      <c r="R560" s="461"/>
    </row>
    <row r="561" spans="11:18" s="368" customFormat="1">
      <c r="K561" s="1539"/>
      <c r="P561" s="461"/>
      <c r="Q561" s="461"/>
      <c r="R561" s="461"/>
    </row>
    <row r="562" spans="11:18" s="368" customFormat="1">
      <c r="K562" s="1539"/>
      <c r="P562" s="461"/>
      <c r="Q562" s="461"/>
      <c r="R562" s="461"/>
    </row>
    <row r="563" spans="11:18" s="368" customFormat="1">
      <c r="K563" s="1539"/>
      <c r="P563" s="461"/>
      <c r="Q563" s="461"/>
      <c r="R563" s="461"/>
    </row>
    <row r="564" spans="11:18" s="368" customFormat="1">
      <c r="K564" s="1539"/>
      <c r="P564" s="461"/>
      <c r="Q564" s="461"/>
      <c r="R564" s="461"/>
    </row>
    <row r="565" spans="11:18" s="368" customFormat="1">
      <c r="K565" s="1539"/>
      <c r="P565" s="461"/>
      <c r="Q565" s="461"/>
      <c r="R565" s="461"/>
    </row>
    <row r="566" spans="11:18" s="368" customFormat="1">
      <c r="K566" s="1539"/>
      <c r="P566" s="461"/>
      <c r="Q566" s="461"/>
      <c r="R566" s="461"/>
    </row>
    <row r="567" spans="11:18" s="368" customFormat="1">
      <c r="K567" s="1539"/>
      <c r="P567" s="461"/>
      <c r="Q567" s="461"/>
      <c r="R567" s="461"/>
    </row>
    <row r="568" spans="11:18" s="368" customFormat="1">
      <c r="K568" s="1539"/>
      <c r="P568" s="461"/>
      <c r="Q568" s="461"/>
      <c r="R568" s="461"/>
    </row>
    <row r="569" spans="11:18" s="368" customFormat="1">
      <c r="K569" s="1539"/>
      <c r="P569" s="461"/>
      <c r="Q569" s="461"/>
      <c r="R569" s="461"/>
    </row>
    <row r="570" spans="11:18" s="368" customFormat="1">
      <c r="K570" s="1539"/>
      <c r="P570" s="461"/>
      <c r="Q570" s="461"/>
      <c r="R570" s="461"/>
    </row>
    <row r="571" spans="11:18" s="368" customFormat="1">
      <c r="K571" s="1539"/>
      <c r="P571" s="461"/>
      <c r="Q571" s="461"/>
      <c r="R571" s="461"/>
    </row>
    <row r="572" spans="11:18" s="368" customFormat="1">
      <c r="K572" s="1539"/>
      <c r="P572" s="461"/>
      <c r="Q572" s="461"/>
      <c r="R572" s="461"/>
    </row>
    <row r="573" spans="11:18" s="368" customFormat="1">
      <c r="K573" s="1539"/>
      <c r="P573" s="461"/>
      <c r="Q573" s="461"/>
      <c r="R573" s="461"/>
    </row>
    <row r="574" spans="11:18" s="368" customFormat="1">
      <c r="K574" s="1539"/>
      <c r="P574" s="461"/>
      <c r="Q574" s="461"/>
      <c r="R574" s="461"/>
    </row>
    <row r="575" spans="11:18" s="368" customFormat="1">
      <c r="K575" s="1539"/>
      <c r="P575" s="461"/>
      <c r="Q575" s="461"/>
      <c r="R575" s="461"/>
    </row>
    <row r="576" spans="11:18" s="368" customFormat="1">
      <c r="K576" s="1539"/>
      <c r="P576" s="461"/>
      <c r="Q576" s="461"/>
      <c r="R576" s="461"/>
    </row>
    <row r="577" spans="11:18" s="368" customFormat="1">
      <c r="K577" s="1539"/>
      <c r="P577" s="461"/>
      <c r="Q577" s="461"/>
      <c r="R577" s="461"/>
    </row>
    <row r="578" spans="11:18" s="368" customFormat="1">
      <c r="K578" s="1539"/>
      <c r="P578" s="461"/>
      <c r="Q578" s="461"/>
      <c r="R578" s="461"/>
    </row>
    <row r="579" spans="11:18" s="368" customFormat="1">
      <c r="K579" s="1539"/>
      <c r="P579" s="461"/>
      <c r="Q579" s="461"/>
      <c r="R579" s="461"/>
    </row>
    <row r="580" spans="11:18" s="368" customFormat="1">
      <c r="K580" s="1539"/>
      <c r="P580" s="461"/>
      <c r="Q580" s="461"/>
      <c r="R580" s="461"/>
    </row>
    <row r="581" spans="11:18" s="368" customFormat="1">
      <c r="K581" s="1539"/>
      <c r="P581" s="461"/>
      <c r="Q581" s="461"/>
      <c r="R581" s="461"/>
    </row>
    <row r="582" spans="11:18" s="368" customFormat="1">
      <c r="K582" s="1539"/>
      <c r="P582" s="461"/>
      <c r="Q582" s="461"/>
      <c r="R582" s="461"/>
    </row>
    <row r="583" spans="11:18" s="368" customFormat="1">
      <c r="K583" s="1539"/>
      <c r="P583" s="461"/>
      <c r="Q583" s="461"/>
      <c r="R583" s="461"/>
    </row>
    <row r="584" spans="11:18" s="368" customFormat="1">
      <c r="K584" s="1539"/>
      <c r="P584" s="461"/>
      <c r="Q584" s="461"/>
      <c r="R584" s="461"/>
    </row>
    <row r="585" spans="11:18" s="368" customFormat="1">
      <c r="K585" s="1539"/>
      <c r="P585" s="461"/>
      <c r="Q585" s="461"/>
      <c r="R585" s="461"/>
    </row>
    <row r="586" spans="11:18" s="368" customFormat="1">
      <c r="K586" s="1539"/>
      <c r="P586" s="461"/>
      <c r="Q586" s="461"/>
      <c r="R586" s="461"/>
    </row>
    <row r="587" spans="11:18" s="368" customFormat="1">
      <c r="K587" s="1539"/>
      <c r="P587" s="461"/>
      <c r="Q587" s="461"/>
      <c r="R587" s="461"/>
    </row>
    <row r="588" spans="11:18" s="368" customFormat="1">
      <c r="K588" s="1539"/>
      <c r="P588" s="461"/>
      <c r="Q588" s="461"/>
      <c r="R588" s="461"/>
    </row>
    <row r="589" spans="11:18" s="368" customFormat="1">
      <c r="K589" s="1539"/>
      <c r="P589" s="461"/>
      <c r="Q589" s="461"/>
      <c r="R589" s="461"/>
    </row>
    <row r="590" spans="11:18" s="368" customFormat="1">
      <c r="K590" s="1539"/>
      <c r="P590" s="461"/>
      <c r="Q590" s="461"/>
      <c r="R590" s="461"/>
    </row>
    <row r="591" spans="11:18" s="368" customFormat="1">
      <c r="K591" s="1539"/>
      <c r="P591" s="461"/>
      <c r="Q591" s="461"/>
      <c r="R591" s="461"/>
    </row>
    <row r="592" spans="11:18" s="368" customFormat="1">
      <c r="K592" s="1539"/>
      <c r="P592" s="461"/>
      <c r="Q592" s="461"/>
      <c r="R592" s="461"/>
    </row>
    <row r="593" spans="11:18" s="368" customFormat="1">
      <c r="K593" s="1539"/>
      <c r="P593" s="461"/>
      <c r="Q593" s="461"/>
      <c r="R593" s="461"/>
    </row>
    <row r="594" spans="11:18" s="368" customFormat="1">
      <c r="K594" s="1539"/>
      <c r="P594" s="461"/>
      <c r="Q594" s="461"/>
      <c r="R594" s="461"/>
    </row>
    <row r="595" spans="11:18" s="368" customFormat="1">
      <c r="K595" s="1539"/>
      <c r="P595" s="461"/>
      <c r="Q595" s="461"/>
      <c r="R595" s="461"/>
    </row>
    <row r="596" spans="11:18" s="368" customFormat="1">
      <c r="K596" s="1539"/>
      <c r="P596" s="461"/>
      <c r="Q596" s="461"/>
      <c r="R596" s="461"/>
    </row>
    <row r="597" spans="11:18" s="368" customFormat="1">
      <c r="K597" s="1539"/>
      <c r="P597" s="461"/>
      <c r="Q597" s="461"/>
      <c r="R597" s="461"/>
    </row>
    <row r="598" spans="11:18" s="368" customFormat="1">
      <c r="K598" s="1539"/>
      <c r="P598" s="461"/>
      <c r="Q598" s="461"/>
      <c r="R598" s="461"/>
    </row>
    <row r="599" spans="11:18" s="368" customFormat="1">
      <c r="K599" s="1539"/>
      <c r="P599" s="461"/>
      <c r="Q599" s="461"/>
      <c r="R599" s="461"/>
    </row>
    <row r="600" spans="11:18" s="368" customFormat="1">
      <c r="K600" s="1539"/>
      <c r="P600" s="461"/>
      <c r="Q600" s="461"/>
      <c r="R600" s="461"/>
    </row>
    <row r="601" spans="11:18" s="368" customFormat="1">
      <c r="K601" s="1539"/>
      <c r="P601" s="461"/>
      <c r="Q601" s="461"/>
      <c r="R601" s="461"/>
    </row>
    <row r="602" spans="11:18" s="368" customFormat="1">
      <c r="K602" s="1539"/>
      <c r="P602" s="461"/>
      <c r="Q602" s="461"/>
      <c r="R602" s="461"/>
    </row>
    <row r="603" spans="11:18" s="368" customFormat="1">
      <c r="K603" s="1539"/>
      <c r="P603" s="461"/>
      <c r="Q603" s="461"/>
      <c r="R603" s="461"/>
    </row>
    <row r="604" spans="11:18" s="368" customFormat="1">
      <c r="K604" s="1539"/>
      <c r="P604" s="461"/>
      <c r="Q604" s="461"/>
      <c r="R604" s="461"/>
    </row>
    <row r="605" spans="11:18" s="368" customFormat="1">
      <c r="K605" s="1539"/>
      <c r="P605" s="461"/>
      <c r="Q605" s="461"/>
      <c r="R605" s="461"/>
    </row>
    <row r="606" spans="11:18" s="368" customFormat="1">
      <c r="K606" s="1539"/>
      <c r="P606" s="461"/>
      <c r="Q606" s="461"/>
      <c r="R606" s="461"/>
    </row>
    <row r="607" spans="11:18" s="368" customFormat="1">
      <c r="K607" s="1539"/>
      <c r="P607" s="461"/>
      <c r="Q607" s="461"/>
      <c r="R607" s="461"/>
    </row>
    <row r="608" spans="11:18" s="368" customFormat="1">
      <c r="K608" s="1539"/>
      <c r="P608" s="461"/>
      <c r="Q608" s="461"/>
      <c r="R608" s="461"/>
    </row>
    <row r="609" spans="11:18" s="368" customFormat="1">
      <c r="K609" s="1539"/>
      <c r="P609" s="461"/>
      <c r="Q609" s="461"/>
      <c r="R609" s="461"/>
    </row>
    <row r="610" spans="11:18" s="368" customFormat="1">
      <c r="K610" s="1539"/>
      <c r="P610" s="461"/>
      <c r="Q610" s="461"/>
      <c r="R610" s="461"/>
    </row>
    <row r="611" spans="11:18" s="368" customFormat="1">
      <c r="K611" s="1539"/>
      <c r="P611" s="461"/>
      <c r="Q611" s="461"/>
      <c r="R611" s="461"/>
    </row>
    <row r="612" spans="11:18" s="368" customFormat="1">
      <c r="K612" s="1539"/>
      <c r="P612" s="461"/>
      <c r="Q612" s="461"/>
      <c r="R612" s="461"/>
    </row>
    <row r="613" spans="11:18" s="368" customFormat="1">
      <c r="K613" s="1539"/>
      <c r="P613" s="461"/>
      <c r="Q613" s="461"/>
      <c r="R613" s="461"/>
    </row>
    <row r="614" spans="11:18" s="368" customFormat="1">
      <c r="K614" s="1539"/>
      <c r="P614" s="461"/>
      <c r="Q614" s="461"/>
      <c r="R614" s="461"/>
    </row>
    <row r="615" spans="11:18" s="368" customFormat="1">
      <c r="K615" s="1539"/>
      <c r="P615" s="461"/>
      <c r="Q615" s="461"/>
      <c r="R615" s="461"/>
    </row>
    <row r="616" spans="11:18" s="368" customFormat="1">
      <c r="K616" s="1539"/>
      <c r="P616" s="461"/>
      <c r="Q616" s="461"/>
      <c r="R616" s="461"/>
    </row>
    <row r="617" spans="11:18" s="368" customFormat="1">
      <c r="K617" s="1539"/>
      <c r="P617" s="461"/>
      <c r="Q617" s="461"/>
      <c r="R617" s="461"/>
    </row>
    <row r="618" spans="11:18" s="368" customFormat="1">
      <c r="K618" s="1539"/>
      <c r="P618" s="461"/>
      <c r="Q618" s="461"/>
      <c r="R618" s="461"/>
    </row>
    <row r="619" spans="11:18" s="368" customFormat="1">
      <c r="K619" s="1539"/>
      <c r="P619" s="461"/>
      <c r="Q619" s="461"/>
      <c r="R619" s="461"/>
    </row>
    <row r="620" spans="11:18" s="368" customFormat="1">
      <c r="K620" s="1539"/>
      <c r="P620" s="461"/>
      <c r="Q620" s="461"/>
      <c r="R620" s="461"/>
    </row>
    <row r="621" spans="11:18" s="368" customFormat="1">
      <c r="K621" s="1539"/>
      <c r="P621" s="461"/>
      <c r="Q621" s="461"/>
      <c r="R621" s="461"/>
    </row>
    <row r="622" spans="11:18" s="368" customFormat="1">
      <c r="K622" s="1539"/>
      <c r="P622" s="461"/>
      <c r="Q622" s="461"/>
      <c r="R622" s="461"/>
    </row>
    <row r="623" spans="11:18" s="368" customFormat="1">
      <c r="K623" s="1539"/>
      <c r="P623" s="461"/>
      <c r="Q623" s="461"/>
      <c r="R623" s="461"/>
    </row>
    <row r="624" spans="11:18" s="368" customFormat="1">
      <c r="K624" s="1539"/>
      <c r="P624" s="461"/>
      <c r="Q624" s="461"/>
      <c r="R624" s="461"/>
    </row>
    <row r="625" spans="11:18" s="368" customFormat="1">
      <c r="K625" s="1539"/>
      <c r="P625" s="461"/>
      <c r="Q625" s="461"/>
      <c r="R625" s="461"/>
    </row>
    <row r="626" spans="11:18" s="368" customFormat="1">
      <c r="K626" s="1539"/>
      <c r="P626" s="461"/>
      <c r="Q626" s="461"/>
      <c r="R626" s="461"/>
    </row>
    <row r="627" spans="11:18" s="368" customFormat="1">
      <c r="K627" s="1539"/>
      <c r="P627" s="461"/>
      <c r="Q627" s="461"/>
      <c r="R627" s="461"/>
    </row>
    <row r="628" spans="11:18" s="368" customFormat="1">
      <c r="K628" s="1539"/>
      <c r="P628" s="461"/>
      <c r="Q628" s="461"/>
      <c r="R628" s="461"/>
    </row>
    <row r="629" spans="11:18" s="368" customFormat="1">
      <c r="K629" s="1539"/>
      <c r="P629" s="461"/>
      <c r="Q629" s="461"/>
      <c r="R629" s="461"/>
    </row>
    <row r="630" spans="11:18" s="368" customFormat="1">
      <c r="K630" s="1539"/>
      <c r="P630" s="461"/>
      <c r="Q630" s="461"/>
      <c r="R630" s="461"/>
    </row>
    <row r="631" spans="11:18" s="368" customFormat="1">
      <c r="K631" s="1539"/>
      <c r="P631" s="461"/>
      <c r="Q631" s="461"/>
      <c r="R631" s="461"/>
    </row>
    <row r="632" spans="11:18" s="368" customFormat="1">
      <c r="K632" s="1539"/>
      <c r="P632" s="461"/>
      <c r="Q632" s="461"/>
      <c r="R632" s="461"/>
    </row>
    <row r="633" spans="11:18" s="368" customFormat="1">
      <c r="K633" s="1539"/>
      <c r="P633" s="461"/>
      <c r="Q633" s="461"/>
      <c r="R633" s="461"/>
    </row>
    <row r="634" spans="11:18" s="368" customFormat="1">
      <c r="K634" s="1539"/>
      <c r="P634" s="461"/>
      <c r="Q634" s="461"/>
      <c r="R634" s="461"/>
    </row>
    <row r="635" spans="11:18" s="368" customFormat="1">
      <c r="K635" s="1539"/>
      <c r="P635" s="461"/>
      <c r="Q635" s="461"/>
      <c r="R635" s="461"/>
    </row>
    <row r="636" spans="11:18" s="368" customFormat="1">
      <c r="K636" s="1539"/>
      <c r="P636" s="461"/>
      <c r="Q636" s="461"/>
      <c r="R636" s="461"/>
    </row>
    <row r="637" spans="11:18" s="368" customFormat="1">
      <c r="K637" s="1539"/>
      <c r="P637" s="461"/>
      <c r="Q637" s="461"/>
      <c r="R637" s="461"/>
    </row>
    <row r="638" spans="11:18" s="368" customFormat="1">
      <c r="K638" s="1539"/>
      <c r="P638" s="461"/>
      <c r="Q638" s="461"/>
      <c r="R638" s="461"/>
    </row>
    <row r="639" spans="11:18" s="368" customFormat="1">
      <c r="K639" s="1539"/>
      <c r="P639" s="461"/>
      <c r="Q639" s="461"/>
      <c r="R639" s="461"/>
    </row>
    <row r="640" spans="11:18" s="368" customFormat="1">
      <c r="K640" s="1539"/>
      <c r="P640" s="461"/>
      <c r="Q640" s="461"/>
      <c r="R640" s="461"/>
    </row>
    <row r="641" spans="11:18" s="368" customFormat="1">
      <c r="K641" s="1539"/>
      <c r="P641" s="461"/>
      <c r="Q641" s="461"/>
      <c r="R641" s="461"/>
    </row>
    <row r="642" spans="11:18" s="368" customFormat="1">
      <c r="K642" s="1539"/>
      <c r="P642" s="461"/>
      <c r="Q642" s="461"/>
      <c r="R642" s="461"/>
    </row>
    <row r="643" spans="11:18" s="368" customFormat="1">
      <c r="K643" s="1539"/>
      <c r="P643" s="461"/>
      <c r="Q643" s="461"/>
      <c r="R643" s="461"/>
    </row>
    <row r="644" spans="11:18" s="368" customFormat="1">
      <c r="K644" s="1539"/>
      <c r="P644" s="461"/>
      <c r="Q644" s="461"/>
      <c r="R644" s="461"/>
    </row>
    <row r="645" spans="11:18" s="368" customFormat="1">
      <c r="K645" s="1539"/>
      <c r="P645" s="461"/>
      <c r="Q645" s="461"/>
      <c r="R645" s="461"/>
    </row>
    <row r="646" spans="11:18" s="368" customFormat="1">
      <c r="K646" s="1539"/>
      <c r="P646" s="461"/>
      <c r="Q646" s="461"/>
      <c r="R646" s="461"/>
    </row>
    <row r="647" spans="11:18" s="368" customFormat="1">
      <c r="K647" s="1539"/>
      <c r="P647" s="461"/>
      <c r="Q647" s="461"/>
      <c r="R647" s="461"/>
    </row>
    <row r="648" spans="11:18" s="368" customFormat="1">
      <c r="K648" s="1539"/>
      <c r="P648" s="461"/>
      <c r="Q648" s="461"/>
      <c r="R648" s="461"/>
    </row>
    <row r="649" spans="11:18" s="368" customFormat="1">
      <c r="K649" s="1539"/>
      <c r="P649" s="461"/>
      <c r="Q649" s="461"/>
      <c r="R649" s="461"/>
    </row>
    <row r="650" spans="11:18" s="368" customFormat="1">
      <c r="K650" s="1539"/>
      <c r="P650" s="461"/>
      <c r="Q650" s="461"/>
      <c r="R650" s="461"/>
    </row>
    <row r="651" spans="11:18" s="368" customFormat="1">
      <c r="K651" s="1539"/>
      <c r="P651" s="461"/>
      <c r="Q651" s="461"/>
      <c r="R651" s="461"/>
    </row>
    <row r="652" spans="11:18" s="368" customFormat="1">
      <c r="K652" s="1539"/>
      <c r="P652" s="461"/>
      <c r="Q652" s="461"/>
      <c r="R652" s="461"/>
    </row>
    <row r="653" spans="11:18" s="368" customFormat="1">
      <c r="K653" s="1539"/>
      <c r="P653" s="461"/>
      <c r="Q653" s="461"/>
      <c r="R653" s="461"/>
    </row>
    <row r="654" spans="11:18" s="368" customFormat="1">
      <c r="K654" s="1539"/>
      <c r="P654" s="461"/>
      <c r="Q654" s="461"/>
      <c r="R654" s="461"/>
    </row>
    <row r="655" spans="11:18" s="368" customFormat="1">
      <c r="K655" s="1539"/>
      <c r="P655" s="461"/>
      <c r="Q655" s="461"/>
      <c r="R655" s="461"/>
    </row>
    <row r="656" spans="11:18" s="368" customFormat="1">
      <c r="K656" s="1539"/>
      <c r="P656" s="461"/>
      <c r="Q656" s="461"/>
      <c r="R656" s="461"/>
    </row>
    <row r="657" spans="11:18" s="368" customFormat="1">
      <c r="K657" s="1539"/>
      <c r="P657" s="461"/>
      <c r="Q657" s="461"/>
      <c r="R657" s="461"/>
    </row>
    <row r="658" spans="11:18" s="368" customFormat="1">
      <c r="K658" s="1539"/>
      <c r="P658" s="461"/>
      <c r="Q658" s="461"/>
      <c r="R658" s="461"/>
    </row>
    <row r="659" spans="11:18" s="368" customFormat="1">
      <c r="K659" s="1539"/>
      <c r="P659" s="461"/>
      <c r="Q659" s="461"/>
      <c r="R659" s="461"/>
    </row>
    <row r="660" spans="11:18" s="368" customFormat="1">
      <c r="K660" s="1539"/>
      <c r="P660" s="461"/>
      <c r="Q660" s="461"/>
      <c r="R660" s="461"/>
    </row>
    <row r="661" spans="11:18" s="368" customFormat="1">
      <c r="K661" s="1539"/>
      <c r="P661" s="461"/>
      <c r="Q661" s="461"/>
      <c r="R661" s="461"/>
    </row>
    <row r="662" spans="11:18" s="368" customFormat="1">
      <c r="K662" s="1539"/>
      <c r="P662" s="461"/>
      <c r="Q662" s="461"/>
      <c r="R662" s="461"/>
    </row>
    <row r="663" spans="11:18" s="368" customFormat="1">
      <c r="K663" s="1539"/>
      <c r="P663" s="461"/>
      <c r="Q663" s="461"/>
      <c r="R663" s="461"/>
    </row>
    <row r="664" spans="11:18" s="368" customFormat="1">
      <c r="K664" s="1539"/>
      <c r="P664" s="461"/>
      <c r="Q664" s="461"/>
      <c r="R664" s="461"/>
    </row>
    <row r="665" spans="11:18" s="368" customFormat="1">
      <c r="K665" s="1539"/>
      <c r="P665" s="461"/>
      <c r="Q665" s="461"/>
      <c r="R665" s="461"/>
    </row>
    <row r="666" spans="11:18" s="368" customFormat="1">
      <c r="K666" s="1539"/>
      <c r="P666" s="461"/>
      <c r="Q666" s="461"/>
      <c r="R666" s="461"/>
    </row>
    <row r="667" spans="11:18" s="368" customFormat="1">
      <c r="K667" s="1539"/>
      <c r="P667" s="461"/>
      <c r="Q667" s="461"/>
      <c r="R667" s="461"/>
    </row>
    <row r="668" spans="11:18" s="368" customFormat="1">
      <c r="K668" s="1539"/>
      <c r="P668" s="461"/>
      <c r="Q668" s="461"/>
      <c r="R668" s="461"/>
    </row>
    <row r="669" spans="11:18" s="368" customFormat="1">
      <c r="K669" s="1539"/>
      <c r="P669" s="461"/>
      <c r="Q669" s="461"/>
      <c r="R669" s="461"/>
    </row>
    <row r="670" spans="11:18" s="368" customFormat="1">
      <c r="K670" s="1539"/>
      <c r="P670" s="461"/>
      <c r="Q670" s="461"/>
      <c r="R670" s="461"/>
    </row>
    <row r="671" spans="11:18" s="368" customFormat="1">
      <c r="K671" s="1539"/>
      <c r="P671" s="461"/>
      <c r="Q671" s="461"/>
      <c r="R671" s="461"/>
    </row>
    <row r="672" spans="11:18" s="368" customFormat="1">
      <c r="K672" s="1539"/>
      <c r="P672" s="461"/>
      <c r="Q672" s="461"/>
      <c r="R672" s="461"/>
    </row>
    <row r="673" spans="11:18" s="368" customFormat="1">
      <c r="K673" s="1539"/>
      <c r="P673" s="461"/>
      <c r="Q673" s="461"/>
      <c r="R673" s="461"/>
    </row>
    <row r="674" spans="11:18" s="368" customFormat="1">
      <c r="K674" s="1539"/>
      <c r="P674" s="461"/>
      <c r="Q674" s="461"/>
      <c r="R674" s="461"/>
    </row>
    <row r="675" spans="11:18" s="368" customFormat="1">
      <c r="K675" s="1539"/>
      <c r="P675" s="461"/>
      <c r="Q675" s="461"/>
      <c r="R675" s="461"/>
    </row>
    <row r="676" spans="11:18" s="368" customFormat="1">
      <c r="K676" s="1539"/>
      <c r="P676" s="461"/>
      <c r="Q676" s="461"/>
      <c r="R676" s="461"/>
    </row>
    <row r="677" spans="11:18" s="368" customFormat="1">
      <c r="K677" s="1539"/>
      <c r="P677" s="461"/>
      <c r="Q677" s="461"/>
      <c r="R677" s="461"/>
    </row>
    <row r="678" spans="11:18" s="368" customFormat="1">
      <c r="K678" s="1539"/>
      <c r="P678" s="461"/>
      <c r="Q678" s="461"/>
      <c r="R678" s="461"/>
    </row>
    <row r="679" spans="11:18" s="368" customFormat="1">
      <c r="K679" s="1539"/>
      <c r="P679" s="461"/>
      <c r="Q679" s="461"/>
      <c r="R679" s="461"/>
    </row>
    <row r="680" spans="11:18" s="368" customFormat="1">
      <c r="K680" s="1539"/>
      <c r="P680" s="461"/>
      <c r="Q680" s="461"/>
      <c r="R680" s="461"/>
    </row>
    <row r="681" spans="11:18" s="368" customFormat="1">
      <c r="K681" s="1539"/>
      <c r="P681" s="461"/>
      <c r="Q681" s="461"/>
      <c r="R681" s="461"/>
    </row>
    <row r="682" spans="11:18" s="368" customFormat="1">
      <c r="K682" s="1539"/>
      <c r="P682" s="461"/>
      <c r="Q682" s="461"/>
      <c r="R682" s="461"/>
    </row>
    <row r="683" spans="11:18" s="368" customFormat="1">
      <c r="K683" s="1539"/>
      <c r="P683" s="461"/>
      <c r="Q683" s="461"/>
      <c r="R683" s="461"/>
    </row>
    <row r="684" spans="11:18" s="368" customFormat="1">
      <c r="K684" s="1539"/>
      <c r="P684" s="461"/>
      <c r="Q684" s="461"/>
      <c r="R684" s="461"/>
    </row>
    <row r="685" spans="11:18" s="368" customFormat="1">
      <c r="K685" s="1539"/>
      <c r="P685" s="461"/>
      <c r="Q685" s="461"/>
      <c r="R685" s="461"/>
    </row>
    <row r="686" spans="11:18" s="368" customFormat="1">
      <c r="K686" s="1539"/>
      <c r="P686" s="461"/>
      <c r="Q686" s="461"/>
      <c r="R686" s="461"/>
    </row>
    <row r="687" spans="11:18" s="368" customFormat="1">
      <c r="K687" s="1539"/>
      <c r="P687" s="461"/>
      <c r="Q687" s="461"/>
      <c r="R687" s="461"/>
    </row>
    <row r="688" spans="11:18" s="368" customFormat="1">
      <c r="K688" s="1539"/>
      <c r="P688" s="461"/>
      <c r="Q688" s="461"/>
      <c r="R688" s="461"/>
    </row>
    <row r="689" spans="11:18" s="368" customFormat="1">
      <c r="K689" s="1539"/>
      <c r="P689" s="461"/>
      <c r="Q689" s="461"/>
      <c r="R689" s="461"/>
    </row>
    <row r="690" spans="11:18" s="368" customFormat="1">
      <c r="K690" s="1539"/>
      <c r="P690" s="461"/>
      <c r="Q690" s="461"/>
      <c r="R690" s="461"/>
    </row>
    <row r="691" spans="11:18" s="368" customFormat="1">
      <c r="K691" s="1539"/>
      <c r="P691" s="461"/>
      <c r="Q691" s="461"/>
      <c r="R691" s="461"/>
    </row>
    <row r="692" spans="11:18" s="368" customFormat="1">
      <c r="K692" s="1539"/>
      <c r="P692" s="461"/>
      <c r="Q692" s="461"/>
      <c r="R692" s="461"/>
    </row>
    <row r="693" spans="11:18" s="368" customFormat="1">
      <c r="K693" s="1539"/>
      <c r="P693" s="461"/>
      <c r="Q693" s="461"/>
      <c r="R693" s="461"/>
    </row>
    <row r="694" spans="11:18" s="368" customFormat="1">
      <c r="K694" s="1539"/>
      <c r="P694" s="461"/>
      <c r="Q694" s="461"/>
      <c r="R694" s="461"/>
    </row>
    <row r="695" spans="11:18" s="368" customFormat="1">
      <c r="K695" s="1539"/>
      <c r="P695" s="461"/>
      <c r="Q695" s="461"/>
      <c r="R695" s="461"/>
    </row>
    <row r="696" spans="11:18" s="368" customFormat="1">
      <c r="K696" s="1539"/>
      <c r="P696" s="461"/>
      <c r="Q696" s="461"/>
      <c r="R696" s="461"/>
    </row>
    <row r="697" spans="11:18" s="368" customFormat="1">
      <c r="K697" s="1539"/>
      <c r="P697" s="461"/>
      <c r="Q697" s="461"/>
      <c r="R697" s="461"/>
    </row>
    <row r="698" spans="11:18" s="368" customFormat="1">
      <c r="K698" s="1539"/>
      <c r="P698" s="461"/>
      <c r="Q698" s="461"/>
      <c r="R698" s="461"/>
    </row>
    <row r="699" spans="11:18" s="368" customFormat="1">
      <c r="K699" s="1539"/>
      <c r="P699" s="461"/>
      <c r="Q699" s="461"/>
      <c r="R699" s="461"/>
    </row>
    <row r="700" spans="11:18" s="368" customFormat="1">
      <c r="K700" s="1539"/>
      <c r="P700" s="461"/>
      <c r="Q700" s="461"/>
      <c r="R700" s="461"/>
    </row>
    <row r="701" spans="11:18" s="368" customFormat="1">
      <c r="K701" s="1539"/>
      <c r="P701" s="461"/>
      <c r="Q701" s="461"/>
      <c r="R701" s="461"/>
    </row>
    <row r="702" spans="11:18" s="368" customFormat="1">
      <c r="K702" s="1539"/>
      <c r="P702" s="461"/>
      <c r="Q702" s="461"/>
      <c r="R702" s="461"/>
    </row>
    <row r="703" spans="11:18" s="368" customFormat="1">
      <c r="K703" s="1539"/>
      <c r="P703" s="461"/>
      <c r="Q703" s="461"/>
      <c r="R703" s="461"/>
    </row>
    <row r="704" spans="11:18" s="368" customFormat="1">
      <c r="K704" s="1539"/>
      <c r="P704" s="461"/>
      <c r="Q704" s="461"/>
      <c r="R704" s="461"/>
    </row>
    <row r="705" spans="11:18" s="368" customFormat="1">
      <c r="K705" s="1539"/>
      <c r="P705" s="461"/>
      <c r="Q705" s="461"/>
      <c r="R705" s="461"/>
    </row>
    <row r="706" spans="11:18" s="368" customFormat="1">
      <c r="K706" s="1539"/>
      <c r="P706" s="461"/>
      <c r="Q706" s="461"/>
      <c r="R706" s="461"/>
    </row>
    <row r="707" spans="11:18" s="368" customFormat="1">
      <c r="K707" s="1539"/>
      <c r="P707" s="461"/>
      <c r="Q707" s="461"/>
      <c r="R707" s="461"/>
    </row>
    <row r="708" spans="11:18" s="368" customFormat="1">
      <c r="K708" s="1539"/>
      <c r="P708" s="461"/>
      <c r="Q708" s="461"/>
      <c r="R708" s="461"/>
    </row>
    <row r="709" spans="11:18" s="368" customFormat="1">
      <c r="K709" s="1539"/>
      <c r="P709" s="461"/>
      <c r="Q709" s="461"/>
      <c r="R709" s="461"/>
    </row>
    <row r="710" spans="11:18" s="368" customFormat="1">
      <c r="K710" s="1539"/>
      <c r="P710" s="461"/>
      <c r="Q710" s="461"/>
      <c r="R710" s="461"/>
    </row>
    <row r="711" spans="11:18" s="368" customFormat="1">
      <c r="K711" s="1539"/>
      <c r="P711" s="461"/>
      <c r="Q711" s="461"/>
      <c r="R711" s="461"/>
    </row>
    <row r="712" spans="11:18" s="368" customFormat="1">
      <c r="K712" s="1539"/>
      <c r="P712" s="461"/>
      <c r="Q712" s="461"/>
      <c r="R712" s="461"/>
    </row>
    <row r="713" spans="11:18" s="368" customFormat="1">
      <c r="K713" s="1539"/>
      <c r="P713" s="461"/>
      <c r="Q713" s="461"/>
      <c r="R713" s="461"/>
    </row>
    <row r="714" spans="11:18" s="368" customFormat="1">
      <c r="K714" s="1539"/>
      <c r="P714" s="461"/>
      <c r="Q714" s="461"/>
      <c r="R714" s="461"/>
    </row>
    <row r="715" spans="11:18" s="368" customFormat="1">
      <c r="K715" s="1539"/>
      <c r="P715" s="461"/>
      <c r="Q715" s="461"/>
      <c r="R715" s="461"/>
    </row>
    <row r="716" spans="11:18" s="368" customFormat="1">
      <c r="K716" s="1539"/>
      <c r="P716" s="461"/>
      <c r="Q716" s="461"/>
      <c r="R716" s="461"/>
    </row>
    <row r="717" spans="11:18" s="368" customFormat="1">
      <c r="K717" s="1539"/>
      <c r="P717" s="461"/>
      <c r="Q717" s="461"/>
      <c r="R717" s="461"/>
    </row>
    <row r="718" spans="11:18" s="368" customFormat="1">
      <c r="K718" s="1539"/>
      <c r="P718" s="461"/>
      <c r="Q718" s="461"/>
      <c r="R718" s="461"/>
    </row>
    <row r="719" spans="11:18" s="368" customFormat="1">
      <c r="K719" s="1539"/>
      <c r="P719" s="461"/>
      <c r="Q719" s="461"/>
      <c r="R719" s="461"/>
    </row>
    <row r="720" spans="11:18" s="368" customFormat="1">
      <c r="K720" s="1539"/>
      <c r="P720" s="461"/>
      <c r="Q720" s="461"/>
      <c r="R720" s="461"/>
    </row>
    <row r="721" spans="11:18" s="368" customFormat="1">
      <c r="K721" s="1539"/>
      <c r="P721" s="461"/>
      <c r="Q721" s="461"/>
      <c r="R721" s="461"/>
    </row>
    <row r="722" spans="11:18" s="368" customFormat="1">
      <c r="K722" s="1539"/>
      <c r="P722" s="461"/>
      <c r="Q722" s="461"/>
      <c r="R722" s="461"/>
    </row>
    <row r="723" spans="11:18" s="368" customFormat="1">
      <c r="K723" s="1539"/>
      <c r="P723" s="461"/>
      <c r="Q723" s="461"/>
      <c r="R723" s="461"/>
    </row>
    <row r="724" spans="11:18" s="368" customFormat="1">
      <c r="K724" s="1539"/>
      <c r="P724" s="461"/>
      <c r="Q724" s="461"/>
      <c r="R724" s="461"/>
    </row>
    <row r="725" spans="11:18" s="368" customFormat="1">
      <c r="K725" s="1539"/>
      <c r="P725" s="461"/>
      <c r="Q725" s="461"/>
      <c r="R725" s="461"/>
    </row>
    <row r="726" spans="11:18" s="368" customFormat="1">
      <c r="K726" s="1539"/>
      <c r="P726" s="461"/>
      <c r="Q726" s="461"/>
      <c r="R726" s="461"/>
    </row>
    <row r="727" spans="11:18" s="368" customFormat="1">
      <c r="K727" s="1539"/>
      <c r="P727" s="461"/>
      <c r="Q727" s="461"/>
      <c r="R727" s="461"/>
    </row>
    <row r="728" spans="11:18" s="368" customFormat="1">
      <c r="K728" s="1539"/>
      <c r="P728" s="461"/>
      <c r="Q728" s="461"/>
      <c r="R728" s="461"/>
    </row>
    <row r="729" spans="11:18" s="368" customFormat="1">
      <c r="K729" s="1539"/>
      <c r="P729" s="461"/>
      <c r="Q729" s="461"/>
      <c r="R729" s="461"/>
    </row>
    <row r="730" spans="11:18" s="368" customFormat="1">
      <c r="K730" s="1539"/>
      <c r="P730" s="461"/>
      <c r="Q730" s="461"/>
      <c r="R730" s="461"/>
    </row>
    <row r="731" spans="11:18" s="368" customFormat="1">
      <c r="K731" s="1539"/>
      <c r="P731" s="461"/>
      <c r="Q731" s="461"/>
      <c r="R731" s="461"/>
    </row>
    <row r="732" spans="11:18" s="368" customFormat="1">
      <c r="K732" s="1539"/>
      <c r="P732" s="461"/>
      <c r="Q732" s="461"/>
      <c r="R732" s="461"/>
    </row>
    <row r="733" spans="11:18" s="368" customFormat="1">
      <c r="K733" s="1539"/>
      <c r="P733" s="461"/>
      <c r="Q733" s="461"/>
      <c r="R733" s="461"/>
    </row>
    <row r="734" spans="11:18" s="368" customFormat="1">
      <c r="K734" s="1539"/>
      <c r="P734" s="461"/>
      <c r="Q734" s="461"/>
      <c r="R734" s="461"/>
    </row>
    <row r="735" spans="11:18" s="368" customFormat="1">
      <c r="K735" s="1539"/>
      <c r="P735" s="461"/>
      <c r="Q735" s="461"/>
      <c r="R735" s="461"/>
    </row>
    <row r="736" spans="11:18" s="368" customFormat="1">
      <c r="K736" s="1539"/>
      <c r="P736" s="461"/>
      <c r="Q736" s="461"/>
      <c r="R736" s="461"/>
    </row>
    <row r="737" spans="11:18" s="368" customFormat="1">
      <c r="K737" s="1539"/>
      <c r="P737" s="461"/>
      <c r="Q737" s="461"/>
      <c r="R737" s="461"/>
    </row>
    <row r="738" spans="11:18" s="368" customFormat="1">
      <c r="K738" s="1539"/>
      <c r="P738" s="461"/>
      <c r="Q738" s="461"/>
      <c r="R738" s="461"/>
    </row>
    <row r="739" spans="11:18" s="368" customFormat="1">
      <c r="K739" s="1539"/>
      <c r="P739" s="461"/>
      <c r="Q739" s="461"/>
      <c r="R739" s="461"/>
    </row>
    <row r="740" spans="11:18" s="368" customFormat="1">
      <c r="K740" s="1539"/>
      <c r="P740" s="461"/>
      <c r="Q740" s="461"/>
      <c r="R740" s="461"/>
    </row>
    <row r="741" spans="11:18" s="368" customFormat="1">
      <c r="K741" s="1539"/>
      <c r="P741" s="461"/>
      <c r="Q741" s="461"/>
      <c r="R741" s="461"/>
    </row>
    <row r="742" spans="11:18" s="368" customFormat="1">
      <c r="K742" s="1539"/>
      <c r="P742" s="461"/>
      <c r="Q742" s="461"/>
      <c r="R742" s="461"/>
    </row>
    <row r="743" spans="11:18" s="368" customFormat="1">
      <c r="K743" s="1539"/>
      <c r="P743" s="461"/>
      <c r="Q743" s="461"/>
      <c r="R743" s="461"/>
    </row>
    <row r="744" spans="11:18" s="368" customFormat="1">
      <c r="K744" s="1539"/>
      <c r="P744" s="461"/>
      <c r="Q744" s="461"/>
      <c r="R744" s="461"/>
    </row>
    <row r="745" spans="11:18" s="368" customFormat="1">
      <c r="K745" s="1539"/>
      <c r="P745" s="461"/>
      <c r="Q745" s="461"/>
      <c r="R745" s="461"/>
    </row>
    <row r="746" spans="11:18" s="368" customFormat="1">
      <c r="K746" s="1539"/>
      <c r="P746" s="461"/>
      <c r="Q746" s="461"/>
      <c r="R746" s="461"/>
    </row>
    <row r="747" spans="11:18" s="368" customFormat="1">
      <c r="K747" s="1539"/>
      <c r="P747" s="461"/>
      <c r="Q747" s="461"/>
      <c r="R747" s="461"/>
    </row>
    <row r="748" spans="11:18" s="368" customFormat="1">
      <c r="K748" s="1539"/>
      <c r="P748" s="461"/>
      <c r="Q748" s="461"/>
      <c r="R748" s="461"/>
    </row>
    <row r="749" spans="11:18" s="368" customFormat="1">
      <c r="K749" s="1539"/>
      <c r="P749" s="461"/>
      <c r="Q749" s="461"/>
      <c r="R749" s="461"/>
    </row>
    <row r="750" spans="11:18" s="368" customFormat="1">
      <c r="K750" s="1539"/>
      <c r="P750" s="461"/>
      <c r="Q750" s="461"/>
      <c r="R750" s="461"/>
    </row>
    <row r="751" spans="11:18" s="368" customFormat="1">
      <c r="K751" s="1539"/>
      <c r="P751" s="461"/>
      <c r="Q751" s="461"/>
      <c r="R751" s="461"/>
    </row>
    <row r="752" spans="11:18" s="368" customFormat="1">
      <c r="K752" s="1539"/>
      <c r="P752" s="461"/>
      <c r="Q752" s="461"/>
      <c r="R752" s="461"/>
    </row>
    <row r="753" spans="11:18" s="368" customFormat="1">
      <c r="K753" s="1539"/>
      <c r="P753" s="461"/>
      <c r="Q753" s="461"/>
      <c r="R753" s="461"/>
    </row>
    <row r="754" spans="11:18" s="368" customFormat="1">
      <c r="K754" s="1539"/>
      <c r="P754" s="461"/>
      <c r="Q754" s="461"/>
      <c r="R754" s="461"/>
    </row>
    <row r="755" spans="11:18" s="368" customFormat="1">
      <c r="K755" s="1539"/>
      <c r="P755" s="461"/>
      <c r="Q755" s="461"/>
      <c r="R755" s="461"/>
    </row>
    <row r="756" spans="11:18" s="368" customFormat="1">
      <c r="K756" s="1539"/>
      <c r="P756" s="461"/>
      <c r="Q756" s="461"/>
      <c r="R756" s="461"/>
    </row>
    <row r="757" spans="11:18" s="368" customFormat="1">
      <c r="K757" s="1539"/>
      <c r="P757" s="461"/>
      <c r="Q757" s="461"/>
      <c r="R757" s="461"/>
    </row>
    <row r="758" spans="11:18" s="368" customFormat="1">
      <c r="K758" s="1539"/>
      <c r="P758" s="461"/>
      <c r="Q758" s="461"/>
      <c r="R758" s="461"/>
    </row>
    <row r="759" spans="11:18" s="368" customFormat="1">
      <c r="K759" s="1539"/>
      <c r="P759" s="461"/>
      <c r="Q759" s="461"/>
      <c r="R759" s="461"/>
    </row>
    <row r="760" spans="11:18" s="368" customFormat="1">
      <c r="K760" s="1539"/>
      <c r="P760" s="461"/>
      <c r="Q760" s="461"/>
      <c r="R760" s="461"/>
    </row>
    <row r="761" spans="11:18" s="368" customFormat="1">
      <c r="K761" s="1539"/>
      <c r="P761" s="461"/>
      <c r="Q761" s="461"/>
      <c r="R761" s="461"/>
    </row>
    <row r="762" spans="11:18" s="368" customFormat="1">
      <c r="K762" s="1539"/>
      <c r="P762" s="461"/>
      <c r="Q762" s="461"/>
      <c r="R762" s="461"/>
    </row>
    <row r="763" spans="11:18" s="368" customFormat="1">
      <c r="K763" s="1539"/>
      <c r="P763" s="461"/>
      <c r="Q763" s="461"/>
      <c r="R763" s="461"/>
    </row>
    <row r="764" spans="11:18" s="368" customFormat="1">
      <c r="K764" s="1539"/>
      <c r="P764" s="461"/>
      <c r="Q764" s="461"/>
      <c r="R764" s="461"/>
    </row>
    <row r="765" spans="11:18" s="368" customFormat="1">
      <c r="K765" s="1539"/>
      <c r="P765" s="461"/>
      <c r="Q765" s="461"/>
      <c r="R765" s="461"/>
    </row>
    <row r="766" spans="11:18" s="368" customFormat="1">
      <c r="K766" s="1539"/>
      <c r="P766" s="461"/>
      <c r="Q766" s="461"/>
      <c r="R766" s="461"/>
    </row>
    <row r="767" spans="11:18" s="368" customFormat="1">
      <c r="K767" s="1539"/>
      <c r="P767" s="461"/>
      <c r="Q767" s="461"/>
      <c r="R767" s="461"/>
    </row>
    <row r="768" spans="11:18" s="368" customFormat="1">
      <c r="K768" s="1539"/>
      <c r="P768" s="461"/>
      <c r="Q768" s="461"/>
      <c r="R768" s="461"/>
    </row>
    <row r="769" spans="11:18" s="368" customFormat="1">
      <c r="K769" s="1539"/>
      <c r="P769" s="461"/>
      <c r="Q769" s="461"/>
      <c r="R769" s="461"/>
    </row>
    <row r="770" spans="11:18" s="368" customFormat="1">
      <c r="K770" s="1539"/>
      <c r="P770" s="461"/>
      <c r="Q770" s="461"/>
      <c r="R770" s="461"/>
    </row>
    <row r="771" spans="11:18" s="368" customFormat="1">
      <c r="K771" s="1539"/>
      <c r="P771" s="461"/>
      <c r="Q771" s="461"/>
      <c r="R771" s="461"/>
    </row>
    <row r="772" spans="11:18" s="368" customFormat="1">
      <c r="K772" s="1539"/>
      <c r="P772" s="461"/>
      <c r="Q772" s="461"/>
      <c r="R772" s="461"/>
    </row>
    <row r="773" spans="11:18" s="368" customFormat="1">
      <c r="K773" s="1539"/>
      <c r="P773" s="461"/>
      <c r="Q773" s="461"/>
      <c r="R773" s="461"/>
    </row>
    <row r="774" spans="11:18" s="368" customFormat="1">
      <c r="K774" s="1539"/>
      <c r="P774" s="461"/>
      <c r="Q774" s="461"/>
      <c r="R774" s="461"/>
    </row>
    <row r="775" spans="11:18" s="368" customFormat="1">
      <c r="K775" s="1539"/>
      <c r="P775" s="461"/>
      <c r="Q775" s="461"/>
      <c r="R775" s="461"/>
    </row>
    <row r="776" spans="11:18" s="368" customFormat="1">
      <c r="K776" s="1539"/>
      <c r="P776" s="461"/>
      <c r="Q776" s="461"/>
      <c r="R776" s="461"/>
    </row>
    <row r="777" spans="11:18" s="368" customFormat="1">
      <c r="K777" s="1539"/>
      <c r="P777" s="461"/>
      <c r="Q777" s="461"/>
      <c r="R777" s="461"/>
    </row>
    <row r="778" spans="11:18" s="368" customFormat="1">
      <c r="K778" s="1539"/>
      <c r="P778" s="461"/>
      <c r="Q778" s="461"/>
      <c r="R778" s="461"/>
    </row>
    <row r="779" spans="11:18" s="368" customFormat="1">
      <c r="K779" s="1539"/>
      <c r="P779" s="461"/>
      <c r="Q779" s="461"/>
      <c r="R779" s="461"/>
    </row>
    <row r="780" spans="11:18" s="368" customFormat="1">
      <c r="K780" s="1539"/>
      <c r="P780" s="461"/>
      <c r="Q780" s="461"/>
      <c r="R780" s="461"/>
    </row>
    <row r="781" spans="11:18" s="368" customFormat="1">
      <c r="K781" s="1539"/>
      <c r="P781" s="461"/>
      <c r="Q781" s="461"/>
      <c r="R781" s="461"/>
    </row>
    <row r="782" spans="11:18" s="368" customFormat="1">
      <c r="K782" s="1539"/>
      <c r="P782" s="461"/>
      <c r="Q782" s="461"/>
      <c r="R782" s="461"/>
    </row>
    <row r="783" spans="11:18" s="368" customFormat="1">
      <c r="K783" s="1539"/>
      <c r="P783" s="461"/>
      <c r="Q783" s="461"/>
      <c r="R783" s="461"/>
    </row>
    <row r="784" spans="11:18" s="368" customFormat="1">
      <c r="K784" s="1539"/>
      <c r="P784" s="461"/>
      <c r="Q784" s="461"/>
      <c r="R784" s="461"/>
    </row>
    <row r="785" spans="11:18" s="368" customFormat="1">
      <c r="K785" s="1539"/>
      <c r="P785" s="461"/>
      <c r="Q785" s="461"/>
      <c r="R785" s="461"/>
    </row>
    <row r="786" spans="11:18" s="368" customFormat="1">
      <c r="K786" s="1539"/>
      <c r="P786" s="461"/>
      <c r="Q786" s="461"/>
      <c r="R786" s="461"/>
    </row>
    <row r="787" spans="11:18" s="368" customFormat="1">
      <c r="K787" s="1539"/>
      <c r="P787" s="461"/>
      <c r="Q787" s="461"/>
      <c r="R787" s="461"/>
    </row>
    <row r="788" spans="11:18" s="368" customFormat="1">
      <c r="K788" s="1539"/>
      <c r="P788" s="461"/>
      <c r="Q788" s="461"/>
      <c r="R788" s="461"/>
    </row>
    <row r="789" spans="11:18" s="368" customFormat="1">
      <c r="K789" s="1539"/>
      <c r="P789" s="461"/>
      <c r="Q789" s="461"/>
      <c r="R789" s="461"/>
    </row>
    <row r="790" spans="11:18" s="368" customFormat="1">
      <c r="K790" s="1539"/>
      <c r="P790" s="461"/>
      <c r="Q790" s="461"/>
      <c r="R790" s="461"/>
    </row>
    <row r="791" spans="11:18" s="368" customFormat="1">
      <c r="K791" s="1539"/>
      <c r="P791" s="461"/>
      <c r="Q791" s="461"/>
      <c r="R791" s="461"/>
    </row>
    <row r="792" spans="11:18" s="368" customFormat="1">
      <c r="K792" s="1539"/>
      <c r="P792" s="461"/>
      <c r="Q792" s="461"/>
      <c r="R792" s="461"/>
    </row>
    <row r="793" spans="11:18" s="368" customFormat="1">
      <c r="K793" s="1539"/>
      <c r="P793" s="461"/>
      <c r="Q793" s="461"/>
      <c r="R793" s="461"/>
    </row>
    <row r="794" spans="11:18" s="368" customFormat="1">
      <c r="K794" s="1539"/>
      <c r="P794" s="461"/>
      <c r="Q794" s="461"/>
      <c r="R794" s="461"/>
    </row>
    <row r="795" spans="11:18" s="368" customFormat="1">
      <c r="K795" s="1539"/>
      <c r="P795" s="461"/>
      <c r="Q795" s="461"/>
      <c r="R795" s="461"/>
    </row>
    <row r="796" spans="11:18" s="368" customFormat="1">
      <c r="K796" s="1539"/>
      <c r="P796" s="461"/>
      <c r="Q796" s="461"/>
      <c r="R796" s="461"/>
    </row>
    <row r="797" spans="11:18" s="368" customFormat="1">
      <c r="K797" s="1539"/>
      <c r="P797" s="461"/>
      <c r="Q797" s="461"/>
      <c r="R797" s="461"/>
    </row>
    <row r="798" spans="11:18" s="368" customFormat="1">
      <c r="K798" s="1539"/>
      <c r="P798" s="461"/>
      <c r="Q798" s="461"/>
      <c r="R798" s="461"/>
    </row>
    <row r="799" spans="11:18" s="368" customFormat="1">
      <c r="K799" s="1539"/>
      <c r="P799" s="461"/>
      <c r="Q799" s="461"/>
      <c r="R799" s="461"/>
    </row>
    <row r="800" spans="11:18" s="368" customFormat="1">
      <c r="K800" s="1539"/>
      <c r="P800" s="461"/>
      <c r="Q800" s="461"/>
      <c r="R800" s="461"/>
    </row>
    <row r="801" spans="11:18" s="368" customFormat="1">
      <c r="K801" s="1539"/>
      <c r="P801" s="461"/>
      <c r="Q801" s="461"/>
      <c r="R801" s="461"/>
    </row>
    <row r="802" spans="11:18" s="368" customFormat="1">
      <c r="K802" s="1539"/>
      <c r="P802" s="461"/>
      <c r="Q802" s="461"/>
      <c r="R802" s="461"/>
    </row>
    <row r="803" spans="11:18" s="368" customFormat="1">
      <c r="K803" s="1539"/>
      <c r="P803" s="461"/>
      <c r="Q803" s="461"/>
      <c r="R803" s="461"/>
    </row>
    <row r="804" spans="11:18" s="368" customFormat="1">
      <c r="K804" s="1539"/>
      <c r="P804" s="461"/>
      <c r="Q804" s="461"/>
      <c r="R804" s="461"/>
    </row>
    <row r="805" spans="11:18" s="368" customFormat="1">
      <c r="K805" s="1539"/>
      <c r="P805" s="461"/>
      <c r="Q805" s="461"/>
      <c r="R805" s="461"/>
    </row>
    <row r="806" spans="11:18" s="368" customFormat="1">
      <c r="K806" s="1539"/>
      <c r="P806" s="461"/>
      <c r="Q806" s="461"/>
      <c r="R806" s="461"/>
    </row>
    <row r="807" spans="11:18" s="368" customFormat="1">
      <c r="K807" s="1539"/>
      <c r="P807" s="461"/>
      <c r="Q807" s="461"/>
      <c r="R807" s="461"/>
    </row>
    <row r="808" spans="11:18" s="368" customFormat="1">
      <c r="K808" s="1539"/>
      <c r="P808" s="461"/>
      <c r="Q808" s="461"/>
      <c r="R808" s="461"/>
    </row>
    <row r="809" spans="11:18" s="368" customFormat="1">
      <c r="K809" s="1539"/>
      <c r="P809" s="461"/>
      <c r="Q809" s="461"/>
      <c r="R809" s="461"/>
    </row>
    <row r="810" spans="11:18" s="368" customFormat="1">
      <c r="K810" s="1539"/>
      <c r="P810" s="461"/>
      <c r="Q810" s="461"/>
      <c r="R810" s="461"/>
    </row>
    <row r="811" spans="11:18" s="368" customFormat="1">
      <c r="K811" s="1539"/>
      <c r="P811" s="461"/>
      <c r="Q811" s="461"/>
      <c r="R811" s="461"/>
    </row>
    <row r="812" spans="11:18" s="368" customFormat="1">
      <c r="K812" s="1539"/>
      <c r="P812" s="461"/>
      <c r="Q812" s="461"/>
      <c r="R812" s="461"/>
    </row>
    <row r="813" spans="11:18" s="368" customFormat="1">
      <c r="K813" s="1539"/>
      <c r="P813" s="461"/>
      <c r="Q813" s="461"/>
      <c r="R813" s="461"/>
    </row>
    <row r="814" spans="11:18" s="368" customFormat="1">
      <c r="K814" s="1539"/>
      <c r="P814" s="461"/>
      <c r="Q814" s="461"/>
      <c r="R814" s="461"/>
    </row>
    <row r="815" spans="11:18" s="368" customFormat="1">
      <c r="K815" s="1539"/>
      <c r="P815" s="461"/>
      <c r="Q815" s="461"/>
      <c r="R815" s="461"/>
    </row>
    <row r="816" spans="11:18" s="368" customFormat="1">
      <c r="K816" s="1539"/>
      <c r="P816" s="461"/>
      <c r="Q816" s="461"/>
      <c r="R816" s="461"/>
    </row>
    <row r="817" spans="11:18" s="368" customFormat="1">
      <c r="K817" s="1539"/>
      <c r="P817" s="461"/>
      <c r="Q817" s="461"/>
      <c r="R817" s="461"/>
    </row>
    <row r="818" spans="11:18" s="368" customFormat="1">
      <c r="K818" s="1539"/>
      <c r="P818" s="461"/>
      <c r="Q818" s="461"/>
      <c r="R818" s="461"/>
    </row>
    <row r="819" spans="11:18" s="368" customFormat="1">
      <c r="K819" s="1539"/>
      <c r="P819" s="461"/>
      <c r="Q819" s="461"/>
      <c r="R819" s="461"/>
    </row>
    <row r="820" spans="11:18" s="368" customFormat="1">
      <c r="K820" s="1539"/>
      <c r="P820" s="461"/>
      <c r="Q820" s="461"/>
      <c r="R820" s="461"/>
    </row>
    <row r="821" spans="11:18" s="368" customFormat="1">
      <c r="K821" s="1539"/>
      <c r="P821" s="461"/>
      <c r="Q821" s="461"/>
      <c r="R821" s="461"/>
    </row>
    <row r="822" spans="11:18" s="368" customFormat="1">
      <c r="K822" s="1539"/>
      <c r="P822" s="461"/>
      <c r="Q822" s="461"/>
      <c r="R822" s="461"/>
    </row>
    <row r="823" spans="11:18" s="368" customFormat="1">
      <c r="K823" s="1539"/>
      <c r="P823" s="461"/>
      <c r="Q823" s="461"/>
      <c r="R823" s="461"/>
    </row>
    <row r="824" spans="11:18" s="368" customFormat="1">
      <c r="K824" s="1539"/>
      <c r="P824" s="461"/>
      <c r="Q824" s="461"/>
      <c r="R824" s="461"/>
    </row>
    <row r="825" spans="11:18" s="368" customFormat="1">
      <c r="K825" s="1539"/>
      <c r="P825" s="461"/>
      <c r="Q825" s="461"/>
      <c r="R825" s="461"/>
    </row>
    <row r="826" spans="11:18" s="368" customFormat="1">
      <c r="K826" s="1539"/>
      <c r="P826" s="461"/>
      <c r="Q826" s="461"/>
      <c r="R826" s="461"/>
    </row>
    <row r="827" spans="11:18" s="368" customFormat="1">
      <c r="K827" s="1539"/>
      <c r="P827" s="461"/>
      <c r="Q827" s="461"/>
      <c r="R827" s="461"/>
    </row>
    <row r="828" spans="11:18" s="368" customFormat="1">
      <c r="K828" s="1539"/>
      <c r="P828" s="461"/>
      <c r="Q828" s="461"/>
      <c r="R828" s="461"/>
    </row>
    <row r="829" spans="11:18" s="368" customFormat="1">
      <c r="K829" s="1539"/>
      <c r="P829" s="461"/>
      <c r="Q829" s="461"/>
      <c r="R829" s="461"/>
    </row>
    <row r="830" spans="11:18" s="368" customFormat="1">
      <c r="K830" s="1539"/>
      <c r="P830" s="461"/>
      <c r="Q830" s="461"/>
      <c r="R830" s="461"/>
    </row>
    <row r="831" spans="11:18" s="368" customFormat="1">
      <c r="K831" s="1539"/>
      <c r="P831" s="461"/>
      <c r="Q831" s="461"/>
      <c r="R831" s="461"/>
    </row>
    <row r="832" spans="11:18" s="368" customFormat="1">
      <c r="K832" s="1539"/>
      <c r="P832" s="461"/>
      <c r="Q832" s="461"/>
      <c r="R832" s="461"/>
    </row>
    <row r="833" spans="11:18" s="368" customFormat="1">
      <c r="K833" s="1539"/>
      <c r="P833" s="461"/>
      <c r="Q833" s="461"/>
      <c r="R833" s="461"/>
    </row>
    <row r="834" spans="11:18" s="368" customFormat="1">
      <c r="K834" s="1539"/>
      <c r="P834" s="461"/>
      <c r="Q834" s="461"/>
      <c r="R834" s="461"/>
    </row>
    <row r="835" spans="11:18" s="368" customFormat="1">
      <c r="K835" s="1539"/>
      <c r="P835" s="461"/>
      <c r="Q835" s="461"/>
      <c r="R835" s="461"/>
    </row>
    <row r="836" spans="11:18" s="368" customFormat="1">
      <c r="K836" s="1539"/>
      <c r="P836" s="461"/>
      <c r="Q836" s="461"/>
      <c r="R836" s="461"/>
    </row>
    <row r="837" spans="11:18" s="368" customFormat="1">
      <c r="K837" s="1539"/>
      <c r="P837" s="461"/>
      <c r="Q837" s="461"/>
      <c r="R837" s="461"/>
    </row>
    <row r="838" spans="11:18" s="368" customFormat="1">
      <c r="K838" s="1539"/>
      <c r="P838" s="461"/>
      <c r="Q838" s="461"/>
      <c r="R838" s="461"/>
    </row>
    <row r="839" spans="11:18" s="368" customFormat="1">
      <c r="K839" s="1539"/>
      <c r="P839" s="461"/>
      <c r="Q839" s="461"/>
      <c r="R839" s="461"/>
    </row>
    <row r="840" spans="11:18" s="368" customFormat="1">
      <c r="K840" s="1539"/>
      <c r="P840" s="461"/>
      <c r="Q840" s="461"/>
      <c r="R840" s="461"/>
    </row>
    <row r="841" spans="11:18" s="368" customFormat="1">
      <c r="K841" s="1539"/>
      <c r="P841" s="461"/>
      <c r="Q841" s="461"/>
      <c r="R841" s="461"/>
    </row>
    <row r="842" spans="11:18" s="368" customFormat="1">
      <c r="K842" s="1539"/>
      <c r="P842" s="461"/>
      <c r="Q842" s="461"/>
      <c r="R842" s="461"/>
    </row>
    <row r="843" spans="11:18" s="368" customFormat="1">
      <c r="K843" s="1539"/>
      <c r="P843" s="461"/>
      <c r="Q843" s="461"/>
      <c r="R843" s="461"/>
    </row>
    <row r="844" spans="11:18" s="368" customFormat="1">
      <c r="K844" s="1539"/>
      <c r="P844" s="461"/>
      <c r="Q844" s="461"/>
      <c r="R844" s="461"/>
    </row>
    <row r="845" spans="11:18" s="368" customFormat="1">
      <c r="K845" s="1539"/>
      <c r="P845" s="461"/>
      <c r="Q845" s="461"/>
      <c r="R845" s="461"/>
    </row>
    <row r="846" spans="11:18" s="368" customFormat="1">
      <c r="K846" s="1539"/>
      <c r="P846" s="461"/>
      <c r="Q846" s="461"/>
      <c r="R846" s="461"/>
    </row>
    <row r="847" spans="11:18" s="368" customFormat="1">
      <c r="K847" s="1539"/>
      <c r="P847" s="461"/>
      <c r="Q847" s="461"/>
      <c r="R847" s="461"/>
    </row>
    <row r="848" spans="11:18" s="368" customFormat="1">
      <c r="K848" s="1539"/>
      <c r="P848" s="461"/>
      <c r="Q848" s="461"/>
      <c r="R848" s="461"/>
    </row>
    <row r="849" spans="11:18" s="368" customFormat="1">
      <c r="K849" s="1539"/>
      <c r="P849" s="461"/>
      <c r="Q849" s="461"/>
      <c r="R849" s="461"/>
    </row>
    <row r="850" spans="11:18" s="368" customFormat="1">
      <c r="K850" s="1539"/>
      <c r="P850" s="461"/>
      <c r="Q850" s="461"/>
      <c r="R850" s="461"/>
    </row>
    <row r="851" spans="11:18" s="368" customFormat="1">
      <c r="K851" s="1539"/>
      <c r="P851" s="461"/>
      <c r="Q851" s="461"/>
      <c r="R851" s="461"/>
    </row>
    <row r="852" spans="11:18" s="368" customFormat="1">
      <c r="K852" s="1539"/>
      <c r="P852" s="461"/>
      <c r="Q852" s="461"/>
      <c r="R852" s="461"/>
    </row>
    <row r="853" spans="11:18" s="368" customFormat="1">
      <c r="K853" s="1539"/>
      <c r="P853" s="461"/>
      <c r="Q853" s="461"/>
      <c r="R853" s="461"/>
    </row>
    <row r="854" spans="11:18" s="368" customFormat="1">
      <c r="K854" s="1539"/>
      <c r="P854" s="461"/>
      <c r="Q854" s="461"/>
      <c r="R854" s="461"/>
    </row>
    <row r="855" spans="11:18" s="368" customFormat="1">
      <c r="K855" s="1539"/>
      <c r="P855" s="461"/>
      <c r="Q855" s="461"/>
      <c r="R855" s="461"/>
    </row>
    <row r="856" spans="11:18" s="368" customFormat="1">
      <c r="K856" s="1539"/>
      <c r="P856" s="461"/>
      <c r="Q856" s="461"/>
      <c r="R856" s="461"/>
    </row>
    <row r="857" spans="11:18" s="368" customFormat="1">
      <c r="K857" s="1539"/>
      <c r="P857" s="461"/>
      <c r="Q857" s="461"/>
      <c r="R857" s="461"/>
    </row>
    <row r="858" spans="11:18" s="368" customFormat="1">
      <c r="K858" s="1539"/>
      <c r="P858" s="461"/>
      <c r="Q858" s="461"/>
      <c r="R858" s="461"/>
    </row>
    <row r="859" spans="11:18" s="368" customFormat="1">
      <c r="K859" s="1539"/>
      <c r="P859" s="461"/>
      <c r="Q859" s="461"/>
      <c r="R859" s="461"/>
    </row>
    <row r="860" spans="11:18" s="368" customFormat="1">
      <c r="K860" s="1539"/>
      <c r="P860" s="461"/>
      <c r="Q860" s="461"/>
      <c r="R860" s="461"/>
    </row>
    <row r="861" spans="11:18" s="368" customFormat="1">
      <c r="K861" s="1539"/>
      <c r="P861" s="461"/>
      <c r="Q861" s="461"/>
      <c r="R861" s="461"/>
    </row>
    <row r="862" spans="11:18" s="368" customFormat="1">
      <c r="K862" s="1539"/>
      <c r="P862" s="461"/>
      <c r="Q862" s="461"/>
      <c r="R862" s="461"/>
    </row>
    <row r="863" spans="11:18" s="368" customFormat="1">
      <c r="K863" s="1539"/>
      <c r="P863" s="461"/>
      <c r="Q863" s="461"/>
      <c r="R863" s="461"/>
    </row>
    <row r="864" spans="11:18" s="368" customFormat="1">
      <c r="K864" s="1539"/>
      <c r="P864" s="461"/>
      <c r="Q864" s="461"/>
      <c r="R864" s="461"/>
    </row>
    <row r="865" spans="11:18" s="368" customFormat="1">
      <c r="K865" s="1539"/>
      <c r="P865" s="461"/>
      <c r="Q865" s="461"/>
      <c r="R865" s="461"/>
    </row>
    <row r="866" spans="11:18" s="368" customFormat="1">
      <c r="K866" s="1539"/>
      <c r="P866" s="461"/>
      <c r="Q866" s="461"/>
      <c r="R866" s="461"/>
    </row>
    <row r="867" spans="11:18" s="368" customFormat="1">
      <c r="K867" s="1539"/>
      <c r="P867" s="461"/>
      <c r="Q867" s="461"/>
      <c r="R867" s="461"/>
    </row>
    <row r="868" spans="11:18" s="368" customFormat="1">
      <c r="K868" s="1539"/>
      <c r="P868" s="461"/>
      <c r="Q868" s="461"/>
      <c r="R868" s="461"/>
    </row>
    <row r="869" spans="11:18" s="368" customFormat="1">
      <c r="K869" s="1539"/>
      <c r="P869" s="461"/>
      <c r="Q869" s="461"/>
      <c r="R869" s="461"/>
    </row>
    <row r="870" spans="11:18" s="368" customFormat="1">
      <c r="K870" s="1539"/>
      <c r="P870" s="461"/>
      <c r="Q870" s="461"/>
      <c r="R870" s="461"/>
    </row>
    <row r="871" spans="11:18" s="368" customFormat="1">
      <c r="K871" s="1539"/>
      <c r="P871" s="461"/>
      <c r="Q871" s="461"/>
      <c r="R871" s="461"/>
    </row>
    <row r="872" spans="11:18" s="368" customFormat="1">
      <c r="K872" s="1539"/>
      <c r="P872" s="461"/>
      <c r="Q872" s="461"/>
      <c r="R872" s="461"/>
    </row>
    <row r="873" spans="11:18" s="368" customFormat="1">
      <c r="K873" s="1539"/>
      <c r="P873" s="461"/>
      <c r="Q873" s="461"/>
      <c r="R873" s="461"/>
    </row>
    <row r="874" spans="11:18" s="368" customFormat="1">
      <c r="K874" s="1539"/>
      <c r="P874" s="461"/>
      <c r="Q874" s="461"/>
      <c r="R874" s="461"/>
    </row>
    <row r="875" spans="11:18" s="368" customFormat="1">
      <c r="K875" s="1539"/>
      <c r="P875" s="461"/>
      <c r="Q875" s="461"/>
      <c r="R875" s="461"/>
    </row>
    <row r="876" spans="11:18" s="368" customFormat="1">
      <c r="K876" s="1539"/>
      <c r="P876" s="461"/>
      <c r="Q876" s="461"/>
      <c r="R876" s="461"/>
    </row>
    <row r="877" spans="11:18" s="368" customFormat="1">
      <c r="K877" s="1539"/>
      <c r="P877" s="461"/>
      <c r="Q877" s="461"/>
      <c r="R877" s="461"/>
    </row>
    <row r="878" spans="11:18" s="368" customFormat="1">
      <c r="K878" s="1539"/>
      <c r="P878" s="461"/>
      <c r="Q878" s="461"/>
      <c r="R878" s="461"/>
    </row>
    <row r="879" spans="11:18" s="368" customFormat="1">
      <c r="K879" s="1539"/>
      <c r="P879" s="461"/>
      <c r="Q879" s="461"/>
      <c r="R879" s="461"/>
    </row>
    <row r="880" spans="11:18" s="368" customFormat="1">
      <c r="K880" s="1539"/>
      <c r="P880" s="461"/>
      <c r="Q880" s="461"/>
      <c r="R880" s="461"/>
    </row>
    <row r="881" spans="11:18" s="368" customFormat="1">
      <c r="K881" s="1539"/>
      <c r="P881" s="461"/>
      <c r="Q881" s="461"/>
      <c r="R881" s="461"/>
    </row>
    <row r="882" spans="11:18" s="368" customFormat="1">
      <c r="K882" s="1539"/>
      <c r="P882" s="461"/>
      <c r="Q882" s="461"/>
      <c r="R882" s="461"/>
    </row>
    <row r="883" spans="11:18" s="368" customFormat="1">
      <c r="K883" s="1539"/>
      <c r="P883" s="461"/>
      <c r="Q883" s="461"/>
      <c r="R883" s="461"/>
    </row>
    <row r="884" spans="11:18" s="368" customFormat="1">
      <c r="K884" s="1539"/>
      <c r="P884" s="461"/>
      <c r="Q884" s="461"/>
      <c r="R884" s="461"/>
    </row>
    <row r="885" spans="11:18" s="368" customFormat="1">
      <c r="K885" s="1539"/>
      <c r="P885" s="461"/>
      <c r="Q885" s="461"/>
      <c r="R885" s="461"/>
    </row>
    <row r="886" spans="11:18" s="368" customFormat="1">
      <c r="K886" s="1539"/>
      <c r="P886" s="461"/>
      <c r="Q886" s="461"/>
      <c r="R886" s="461"/>
    </row>
    <row r="887" spans="11:18" s="368" customFormat="1">
      <c r="K887" s="1539"/>
      <c r="P887" s="461"/>
      <c r="Q887" s="461"/>
      <c r="R887" s="461"/>
    </row>
    <row r="888" spans="11:18" s="368" customFormat="1">
      <c r="K888" s="1539"/>
      <c r="P888" s="461"/>
      <c r="Q888" s="461"/>
      <c r="R888" s="461"/>
    </row>
    <row r="889" spans="11:18" s="368" customFormat="1">
      <c r="K889" s="1539"/>
      <c r="P889" s="461"/>
      <c r="Q889" s="461"/>
      <c r="R889" s="461"/>
    </row>
    <row r="890" spans="11:18" s="368" customFormat="1">
      <c r="K890" s="1539"/>
      <c r="P890" s="461"/>
      <c r="Q890" s="461"/>
      <c r="R890" s="461"/>
    </row>
    <row r="891" spans="11:18" s="368" customFormat="1">
      <c r="K891" s="1539"/>
      <c r="P891" s="461"/>
      <c r="Q891" s="461"/>
      <c r="R891" s="461"/>
    </row>
    <row r="892" spans="11:18" s="368" customFormat="1">
      <c r="K892" s="1539"/>
      <c r="P892" s="461"/>
      <c r="Q892" s="461"/>
      <c r="R892" s="461"/>
    </row>
    <row r="893" spans="11:18" s="368" customFormat="1">
      <c r="K893" s="1539"/>
      <c r="P893" s="461"/>
      <c r="Q893" s="461"/>
      <c r="R893" s="461"/>
    </row>
    <row r="894" spans="11:18" s="368" customFormat="1">
      <c r="K894" s="1539"/>
      <c r="P894" s="461"/>
      <c r="Q894" s="461"/>
      <c r="R894" s="461"/>
    </row>
    <row r="895" spans="11:18" s="368" customFormat="1">
      <c r="K895" s="1539"/>
      <c r="P895" s="461"/>
      <c r="Q895" s="461"/>
      <c r="R895" s="461"/>
    </row>
    <row r="896" spans="11:18" s="368" customFormat="1">
      <c r="K896" s="1539"/>
      <c r="P896" s="461"/>
      <c r="Q896" s="461"/>
      <c r="R896" s="461"/>
    </row>
    <row r="897" spans="11:18" s="368" customFormat="1">
      <c r="K897" s="1539"/>
      <c r="P897" s="461"/>
      <c r="Q897" s="461"/>
      <c r="R897" s="461"/>
    </row>
    <row r="898" spans="11:18" s="368" customFormat="1">
      <c r="K898" s="1539"/>
      <c r="P898" s="461"/>
      <c r="Q898" s="461"/>
      <c r="R898" s="461"/>
    </row>
    <row r="899" spans="11:18" s="368" customFormat="1">
      <c r="K899" s="1539"/>
      <c r="P899" s="461"/>
      <c r="Q899" s="461"/>
      <c r="R899" s="461"/>
    </row>
    <row r="900" spans="11:18" s="368" customFormat="1">
      <c r="K900" s="1539"/>
      <c r="P900" s="461"/>
      <c r="Q900" s="461"/>
      <c r="R900" s="461"/>
    </row>
    <row r="901" spans="11:18" s="368" customFormat="1">
      <c r="K901" s="1539"/>
      <c r="P901" s="461"/>
      <c r="Q901" s="461"/>
      <c r="R901" s="461"/>
    </row>
    <row r="902" spans="11:18" s="368" customFormat="1">
      <c r="K902" s="1539"/>
      <c r="P902" s="461"/>
      <c r="Q902" s="461"/>
      <c r="R902" s="461"/>
    </row>
    <row r="903" spans="11:18" s="368" customFormat="1">
      <c r="K903" s="1539"/>
      <c r="P903" s="461"/>
      <c r="Q903" s="461"/>
      <c r="R903" s="461"/>
    </row>
    <row r="904" spans="11:18" s="368" customFormat="1">
      <c r="K904" s="1539"/>
      <c r="P904" s="461"/>
      <c r="Q904" s="461"/>
      <c r="R904" s="461"/>
    </row>
    <row r="905" spans="11:18" s="368" customFormat="1">
      <c r="K905" s="1539"/>
      <c r="P905" s="461"/>
      <c r="Q905" s="461"/>
      <c r="R905" s="461"/>
    </row>
    <row r="906" spans="11:18" s="368" customFormat="1">
      <c r="K906" s="1539"/>
      <c r="P906" s="461"/>
      <c r="Q906" s="461"/>
      <c r="R906" s="461"/>
    </row>
    <row r="907" spans="11:18" s="368" customFormat="1">
      <c r="K907" s="1539"/>
      <c r="P907" s="461"/>
      <c r="Q907" s="461"/>
      <c r="R907" s="461"/>
    </row>
    <row r="908" spans="11:18" s="368" customFormat="1">
      <c r="K908" s="1539"/>
      <c r="P908" s="461"/>
      <c r="Q908" s="461"/>
      <c r="R908" s="461"/>
    </row>
    <row r="909" spans="11:18" s="368" customFormat="1">
      <c r="K909" s="1539"/>
      <c r="P909" s="461"/>
      <c r="Q909" s="461"/>
      <c r="R909" s="461"/>
    </row>
    <row r="910" spans="11:18" s="368" customFormat="1">
      <c r="K910" s="1539"/>
      <c r="P910" s="461"/>
      <c r="Q910" s="461"/>
      <c r="R910" s="461"/>
    </row>
    <row r="911" spans="11:18" s="368" customFormat="1">
      <c r="K911" s="1539"/>
      <c r="P911" s="461"/>
      <c r="Q911" s="461"/>
      <c r="R911" s="461"/>
    </row>
    <row r="912" spans="11:18" s="368" customFormat="1">
      <c r="K912" s="1539"/>
      <c r="P912" s="461"/>
      <c r="Q912" s="461"/>
      <c r="R912" s="461"/>
    </row>
    <row r="913" spans="11:18" s="368" customFormat="1">
      <c r="K913" s="1539"/>
      <c r="P913" s="461"/>
      <c r="Q913" s="461"/>
      <c r="R913" s="461"/>
    </row>
    <row r="914" spans="11:18" s="368" customFormat="1">
      <c r="K914" s="1539"/>
      <c r="P914" s="461"/>
      <c r="Q914" s="461"/>
      <c r="R914" s="461"/>
    </row>
    <row r="915" spans="11:18" s="368" customFormat="1">
      <c r="K915" s="1539"/>
      <c r="P915" s="461"/>
      <c r="Q915" s="461"/>
      <c r="R915" s="461"/>
    </row>
    <row r="916" spans="11:18" s="368" customFormat="1">
      <c r="K916" s="1539"/>
      <c r="P916" s="461"/>
      <c r="Q916" s="461"/>
      <c r="R916" s="461"/>
    </row>
    <row r="917" spans="11:18" s="368" customFormat="1">
      <c r="K917" s="1539"/>
      <c r="P917" s="461"/>
      <c r="Q917" s="461"/>
      <c r="R917" s="461"/>
    </row>
    <row r="918" spans="11:18" s="368" customFormat="1">
      <c r="K918" s="1539"/>
      <c r="P918" s="461"/>
      <c r="Q918" s="461"/>
      <c r="R918" s="461"/>
    </row>
    <row r="919" spans="11:18" s="368" customFormat="1">
      <c r="K919" s="1539"/>
      <c r="P919" s="461"/>
      <c r="Q919" s="461"/>
      <c r="R919" s="461"/>
    </row>
    <row r="920" spans="11:18" s="368" customFormat="1">
      <c r="K920" s="1539"/>
      <c r="P920" s="461"/>
      <c r="Q920" s="461"/>
      <c r="R920" s="461"/>
    </row>
    <row r="921" spans="11:18" s="368" customFormat="1">
      <c r="K921" s="1539"/>
      <c r="P921" s="461"/>
      <c r="Q921" s="461"/>
      <c r="R921" s="461"/>
    </row>
    <row r="922" spans="11:18" s="368" customFormat="1">
      <c r="K922" s="1539"/>
      <c r="P922" s="461"/>
      <c r="Q922" s="461"/>
      <c r="R922" s="461"/>
    </row>
    <row r="923" spans="11:18" s="368" customFormat="1">
      <c r="K923" s="1539"/>
      <c r="P923" s="461"/>
      <c r="Q923" s="461"/>
      <c r="R923" s="461"/>
    </row>
    <row r="924" spans="11:18" s="368" customFormat="1">
      <c r="K924" s="1539"/>
      <c r="P924" s="461"/>
      <c r="Q924" s="461"/>
      <c r="R924" s="461"/>
    </row>
    <row r="925" spans="11:18" s="368" customFormat="1">
      <c r="K925" s="1539"/>
      <c r="P925" s="461"/>
      <c r="Q925" s="461"/>
      <c r="R925" s="461"/>
    </row>
    <row r="926" spans="11:18" s="368" customFormat="1">
      <c r="K926" s="1539"/>
      <c r="P926" s="461"/>
      <c r="Q926" s="461"/>
      <c r="R926" s="461"/>
    </row>
    <row r="927" spans="11:18" s="368" customFormat="1">
      <c r="K927" s="1539"/>
      <c r="P927" s="461"/>
      <c r="Q927" s="461"/>
      <c r="R927" s="461"/>
    </row>
    <row r="928" spans="11:18" s="368" customFormat="1">
      <c r="K928" s="1539"/>
      <c r="P928" s="461"/>
      <c r="Q928" s="461"/>
      <c r="R928" s="461"/>
    </row>
    <row r="929" spans="11:18" s="368" customFormat="1">
      <c r="K929" s="1539"/>
      <c r="P929" s="461"/>
      <c r="Q929" s="461"/>
      <c r="R929" s="461"/>
    </row>
    <row r="930" spans="11:18" s="368" customFormat="1">
      <c r="K930" s="1539"/>
      <c r="P930" s="461"/>
      <c r="Q930" s="461"/>
      <c r="R930" s="461"/>
    </row>
    <row r="931" spans="11:18" s="368" customFormat="1">
      <c r="K931" s="1539"/>
      <c r="P931" s="461"/>
      <c r="Q931" s="461"/>
      <c r="R931" s="461"/>
    </row>
    <row r="932" spans="11:18" s="368" customFormat="1">
      <c r="K932" s="1539"/>
      <c r="P932" s="461"/>
      <c r="Q932" s="461"/>
      <c r="R932" s="461"/>
    </row>
    <row r="933" spans="11:18" s="368" customFormat="1">
      <c r="K933" s="1539"/>
      <c r="P933" s="461"/>
      <c r="Q933" s="461"/>
      <c r="R933" s="461"/>
    </row>
    <row r="934" spans="11:18" s="368" customFormat="1">
      <c r="K934" s="1539"/>
      <c r="P934" s="461"/>
      <c r="Q934" s="461"/>
      <c r="R934" s="461"/>
    </row>
    <row r="935" spans="11:18" s="368" customFormat="1">
      <c r="K935" s="1539"/>
      <c r="P935" s="461"/>
      <c r="Q935" s="461"/>
      <c r="R935" s="461"/>
    </row>
    <row r="936" spans="11:18" s="368" customFormat="1">
      <c r="K936" s="1539"/>
      <c r="P936" s="461"/>
      <c r="Q936" s="461"/>
      <c r="R936" s="461"/>
    </row>
    <row r="937" spans="11:18" s="368" customFormat="1">
      <c r="K937" s="1539"/>
      <c r="P937" s="461"/>
      <c r="Q937" s="461"/>
      <c r="R937" s="461"/>
    </row>
    <row r="938" spans="11:18" s="368" customFormat="1">
      <c r="K938" s="1539"/>
      <c r="P938" s="461"/>
      <c r="Q938" s="461"/>
      <c r="R938" s="461"/>
    </row>
    <row r="939" spans="11:18" s="368" customFormat="1">
      <c r="K939" s="1539"/>
      <c r="P939" s="461"/>
      <c r="Q939" s="461"/>
      <c r="R939" s="461"/>
    </row>
    <row r="940" spans="11:18" s="368" customFormat="1">
      <c r="K940" s="1539"/>
      <c r="P940" s="461"/>
      <c r="Q940" s="461"/>
      <c r="R940" s="461"/>
    </row>
    <row r="941" spans="11:18" s="368" customFormat="1">
      <c r="K941" s="1539"/>
      <c r="P941" s="461"/>
      <c r="Q941" s="461"/>
      <c r="R941" s="461"/>
    </row>
    <row r="942" spans="11:18" s="368" customFormat="1">
      <c r="K942" s="1539"/>
      <c r="P942" s="461"/>
      <c r="Q942" s="461"/>
      <c r="R942" s="461"/>
    </row>
    <row r="943" spans="11:18" s="368" customFormat="1">
      <c r="K943" s="1539"/>
      <c r="P943" s="461"/>
      <c r="Q943" s="461"/>
      <c r="R943" s="461"/>
    </row>
    <row r="944" spans="11:18" s="368" customFormat="1">
      <c r="K944" s="1539"/>
      <c r="P944" s="461"/>
      <c r="Q944" s="461"/>
      <c r="R944" s="461"/>
    </row>
    <row r="945" spans="11:18" s="368" customFormat="1">
      <c r="K945" s="1539"/>
      <c r="P945" s="461"/>
      <c r="Q945" s="461"/>
      <c r="R945" s="461"/>
    </row>
    <row r="946" spans="11:18" s="368" customFormat="1">
      <c r="K946" s="1539"/>
      <c r="P946" s="461"/>
      <c r="Q946" s="461"/>
      <c r="R946" s="461"/>
    </row>
    <row r="947" spans="11:18" s="368" customFormat="1">
      <c r="K947" s="1539"/>
      <c r="P947" s="461"/>
      <c r="Q947" s="461"/>
      <c r="R947" s="461"/>
    </row>
    <row r="948" spans="11:18" s="368" customFormat="1">
      <c r="K948" s="1539"/>
      <c r="P948" s="461"/>
      <c r="Q948" s="461"/>
      <c r="R948" s="461"/>
    </row>
    <row r="949" spans="11:18" s="368" customFormat="1">
      <c r="K949" s="1539"/>
      <c r="P949" s="461"/>
      <c r="Q949" s="461"/>
      <c r="R949" s="461"/>
    </row>
    <row r="950" spans="11:18" s="368" customFormat="1">
      <c r="K950" s="1539"/>
      <c r="P950" s="461"/>
      <c r="Q950" s="461"/>
      <c r="R950" s="461"/>
    </row>
    <row r="951" spans="11:18" s="368" customFormat="1">
      <c r="K951" s="1539"/>
      <c r="P951" s="461"/>
      <c r="Q951" s="461"/>
      <c r="R951" s="461"/>
    </row>
    <row r="952" spans="11:18" s="368" customFormat="1">
      <c r="K952" s="1539"/>
      <c r="P952" s="461"/>
      <c r="Q952" s="461"/>
      <c r="R952" s="461"/>
    </row>
    <row r="953" spans="11:18" s="368" customFormat="1">
      <c r="K953" s="1539"/>
      <c r="P953" s="461"/>
      <c r="Q953" s="461"/>
      <c r="R953" s="461"/>
    </row>
    <row r="954" spans="11:18" s="368" customFormat="1">
      <c r="K954" s="1539"/>
      <c r="P954" s="461"/>
      <c r="Q954" s="461"/>
      <c r="R954" s="461"/>
    </row>
    <row r="955" spans="11:18" s="368" customFormat="1">
      <c r="K955" s="1539"/>
      <c r="P955" s="461"/>
      <c r="Q955" s="461"/>
      <c r="R955" s="461"/>
    </row>
    <row r="956" spans="11:18" s="368" customFormat="1">
      <c r="K956" s="1539"/>
      <c r="P956" s="461"/>
      <c r="Q956" s="461"/>
      <c r="R956" s="461"/>
    </row>
    <row r="957" spans="11:18" s="368" customFormat="1">
      <c r="K957" s="1539"/>
      <c r="P957" s="461"/>
      <c r="Q957" s="461"/>
      <c r="R957" s="461"/>
    </row>
    <row r="958" spans="11:18" s="368" customFormat="1">
      <c r="K958" s="1539"/>
      <c r="P958" s="461"/>
      <c r="Q958" s="461"/>
      <c r="R958" s="461"/>
    </row>
    <row r="959" spans="11:18" s="368" customFormat="1">
      <c r="K959" s="1539"/>
      <c r="P959" s="461"/>
      <c r="Q959" s="461"/>
      <c r="R959" s="461"/>
    </row>
    <row r="960" spans="11:18" s="368" customFormat="1">
      <c r="K960" s="1539"/>
      <c r="P960" s="461"/>
      <c r="Q960" s="461"/>
      <c r="R960" s="461"/>
    </row>
    <row r="961" spans="11:18" s="368" customFormat="1">
      <c r="K961" s="1539"/>
      <c r="P961" s="461"/>
      <c r="Q961" s="461"/>
      <c r="R961" s="461"/>
    </row>
    <row r="962" spans="11:18" s="368" customFormat="1">
      <c r="K962" s="1539"/>
      <c r="P962" s="461"/>
      <c r="Q962" s="461"/>
      <c r="R962" s="461"/>
    </row>
    <row r="963" spans="11:18" s="368" customFormat="1">
      <c r="K963" s="1539"/>
      <c r="P963" s="461"/>
      <c r="Q963" s="461"/>
      <c r="R963" s="461"/>
    </row>
    <row r="964" spans="11:18" s="368" customFormat="1">
      <c r="K964" s="1539"/>
      <c r="P964" s="461"/>
      <c r="Q964" s="461"/>
      <c r="R964" s="461"/>
    </row>
    <row r="965" spans="11:18" s="368" customFormat="1">
      <c r="K965" s="1539"/>
      <c r="P965" s="461"/>
      <c r="Q965" s="461"/>
      <c r="R965" s="461"/>
    </row>
    <row r="966" spans="11:18" s="368" customFormat="1">
      <c r="K966" s="1539"/>
      <c r="P966" s="461"/>
      <c r="Q966" s="461"/>
      <c r="R966" s="461"/>
    </row>
    <row r="967" spans="11:18" s="368" customFormat="1">
      <c r="K967" s="1539"/>
      <c r="P967" s="461"/>
      <c r="Q967" s="461"/>
      <c r="R967" s="461"/>
    </row>
    <row r="968" spans="11:18" s="368" customFormat="1">
      <c r="K968" s="1539"/>
      <c r="P968" s="461"/>
      <c r="Q968" s="461"/>
      <c r="R968" s="461"/>
    </row>
    <row r="969" spans="11:18" s="368" customFormat="1">
      <c r="K969" s="1539"/>
      <c r="P969" s="461"/>
      <c r="Q969" s="461"/>
      <c r="R969" s="461"/>
    </row>
    <row r="970" spans="11:18" s="368" customFormat="1">
      <c r="K970" s="1539"/>
      <c r="P970" s="461"/>
      <c r="Q970" s="461"/>
      <c r="R970" s="461"/>
    </row>
    <row r="971" spans="11:18" s="368" customFormat="1">
      <c r="K971" s="1539"/>
      <c r="P971" s="461"/>
      <c r="Q971" s="461"/>
      <c r="R971" s="461"/>
    </row>
    <row r="972" spans="11:18" s="368" customFormat="1">
      <c r="K972" s="1539"/>
      <c r="P972" s="461"/>
      <c r="Q972" s="461"/>
      <c r="R972" s="461"/>
    </row>
    <row r="973" spans="11:18" s="368" customFormat="1">
      <c r="K973" s="1539"/>
      <c r="P973" s="461"/>
      <c r="Q973" s="461"/>
      <c r="R973" s="461"/>
    </row>
    <row r="974" spans="11:18" s="368" customFormat="1">
      <c r="K974" s="1539"/>
      <c r="P974" s="461"/>
      <c r="Q974" s="461"/>
      <c r="R974" s="461"/>
    </row>
    <row r="975" spans="11:18" s="368" customFormat="1">
      <c r="K975" s="1539"/>
      <c r="P975" s="461"/>
      <c r="Q975" s="461"/>
      <c r="R975" s="461"/>
    </row>
    <row r="976" spans="11:18" s="368" customFormat="1">
      <c r="K976" s="1539"/>
      <c r="P976" s="461"/>
      <c r="Q976" s="461"/>
      <c r="R976" s="461"/>
    </row>
    <row r="977" spans="11:18" s="368" customFormat="1">
      <c r="K977" s="1539"/>
      <c r="P977" s="461"/>
      <c r="Q977" s="461"/>
      <c r="R977" s="461"/>
    </row>
    <row r="978" spans="11:18" s="368" customFormat="1">
      <c r="K978" s="1539"/>
      <c r="P978" s="461"/>
      <c r="Q978" s="461"/>
      <c r="R978" s="461"/>
    </row>
    <row r="979" spans="11:18" s="368" customFormat="1">
      <c r="K979" s="1539"/>
      <c r="P979" s="461"/>
      <c r="Q979" s="461"/>
      <c r="R979" s="461"/>
    </row>
    <row r="980" spans="11:18" s="368" customFormat="1">
      <c r="K980" s="1539"/>
      <c r="P980" s="461"/>
      <c r="Q980" s="461"/>
      <c r="R980" s="461"/>
    </row>
    <row r="981" spans="11:18" s="368" customFormat="1">
      <c r="K981" s="1539"/>
      <c r="P981" s="461"/>
      <c r="Q981" s="461"/>
      <c r="R981" s="461"/>
    </row>
    <row r="982" spans="11:18" s="368" customFormat="1">
      <c r="K982" s="1539"/>
      <c r="P982" s="461"/>
      <c r="Q982" s="461"/>
      <c r="R982" s="461"/>
    </row>
    <row r="983" spans="11:18" s="368" customFormat="1">
      <c r="K983" s="1539"/>
      <c r="P983" s="461"/>
      <c r="Q983" s="461"/>
      <c r="R983" s="461"/>
    </row>
    <row r="984" spans="11:18" s="368" customFormat="1">
      <c r="K984" s="1539"/>
      <c r="P984" s="461"/>
      <c r="Q984" s="461"/>
      <c r="R984" s="461"/>
    </row>
    <row r="985" spans="11:18" s="368" customFormat="1">
      <c r="K985" s="1539"/>
      <c r="P985" s="461"/>
      <c r="Q985" s="461"/>
      <c r="R985" s="461"/>
    </row>
    <row r="986" spans="11:18" s="368" customFormat="1">
      <c r="K986" s="1539"/>
      <c r="P986" s="461"/>
      <c r="Q986" s="461"/>
      <c r="R986" s="461"/>
    </row>
    <row r="987" spans="11:18" s="368" customFormat="1">
      <c r="K987" s="1539"/>
      <c r="P987" s="461"/>
      <c r="Q987" s="461"/>
      <c r="R987" s="461"/>
    </row>
    <row r="988" spans="11:18" s="368" customFormat="1">
      <c r="K988" s="1539"/>
      <c r="P988" s="461"/>
      <c r="Q988" s="461"/>
      <c r="R988" s="461"/>
    </row>
    <row r="989" spans="11:18" s="368" customFormat="1">
      <c r="K989" s="1539"/>
      <c r="P989" s="461"/>
      <c r="Q989" s="461"/>
      <c r="R989" s="461"/>
    </row>
    <row r="990" spans="11:18" s="368" customFormat="1">
      <c r="K990" s="1539"/>
      <c r="P990" s="461"/>
      <c r="Q990" s="461"/>
      <c r="R990" s="461"/>
    </row>
    <row r="991" spans="11:18" s="368" customFormat="1">
      <c r="K991" s="1539"/>
      <c r="P991" s="461"/>
      <c r="Q991" s="461"/>
      <c r="R991" s="461"/>
    </row>
    <row r="992" spans="11:18" s="368" customFormat="1">
      <c r="K992" s="1539"/>
      <c r="P992" s="461"/>
      <c r="Q992" s="461"/>
      <c r="R992" s="461"/>
    </row>
    <row r="993" spans="11:18" s="368" customFormat="1">
      <c r="K993" s="1539"/>
      <c r="P993" s="461"/>
      <c r="Q993" s="461"/>
      <c r="R993" s="461"/>
    </row>
    <row r="994" spans="11:18" s="368" customFormat="1">
      <c r="K994" s="1539"/>
      <c r="P994" s="461"/>
      <c r="Q994" s="461"/>
      <c r="R994" s="461"/>
    </row>
    <row r="995" spans="11:18" s="368" customFormat="1">
      <c r="K995" s="1539"/>
      <c r="P995" s="461"/>
      <c r="Q995" s="461"/>
      <c r="R995" s="461"/>
    </row>
    <row r="996" spans="11:18" s="368" customFormat="1">
      <c r="K996" s="1539"/>
      <c r="P996" s="461"/>
      <c r="Q996" s="461"/>
      <c r="R996" s="461"/>
    </row>
    <row r="997" spans="11:18" s="368" customFormat="1">
      <c r="K997" s="1539"/>
      <c r="P997" s="461"/>
      <c r="Q997" s="461"/>
      <c r="R997" s="461"/>
    </row>
    <row r="998" spans="11:18" s="368" customFormat="1">
      <c r="K998" s="1539"/>
      <c r="P998" s="461"/>
      <c r="Q998" s="461"/>
      <c r="R998" s="461"/>
    </row>
    <row r="999" spans="11:18" s="368" customFormat="1">
      <c r="K999" s="1539"/>
      <c r="P999" s="461"/>
      <c r="Q999" s="461"/>
      <c r="R999" s="461"/>
    </row>
    <row r="1000" spans="11:18" s="368" customFormat="1">
      <c r="K1000" s="1539"/>
      <c r="P1000" s="461"/>
      <c r="Q1000" s="461"/>
      <c r="R1000" s="461"/>
    </row>
    <row r="1001" spans="11:18" s="368" customFormat="1">
      <c r="K1001" s="1539"/>
      <c r="P1001" s="461"/>
      <c r="Q1001" s="461"/>
      <c r="R1001" s="461"/>
    </row>
    <row r="1002" spans="11:18" s="368" customFormat="1">
      <c r="K1002" s="1539"/>
      <c r="P1002" s="461"/>
      <c r="Q1002" s="461"/>
      <c r="R1002" s="461"/>
    </row>
    <row r="1003" spans="11:18" s="368" customFormat="1">
      <c r="K1003" s="1539"/>
      <c r="P1003" s="461"/>
      <c r="Q1003" s="461"/>
      <c r="R1003" s="461"/>
    </row>
    <row r="1004" spans="11:18" s="368" customFormat="1">
      <c r="K1004" s="1539"/>
      <c r="P1004" s="461"/>
      <c r="Q1004" s="461"/>
      <c r="R1004" s="461"/>
    </row>
    <row r="1005" spans="11:18" s="368" customFormat="1">
      <c r="K1005" s="1539"/>
      <c r="P1005" s="461"/>
      <c r="Q1005" s="461"/>
      <c r="R1005" s="461"/>
    </row>
    <row r="1006" spans="11:18" s="368" customFormat="1">
      <c r="K1006" s="1539"/>
      <c r="P1006" s="461"/>
      <c r="Q1006" s="461"/>
      <c r="R1006" s="461"/>
    </row>
    <row r="1007" spans="11:18" s="368" customFormat="1">
      <c r="K1007" s="1539"/>
      <c r="P1007" s="461"/>
      <c r="Q1007" s="461"/>
      <c r="R1007" s="461"/>
    </row>
    <row r="1008" spans="11:18" s="368" customFormat="1">
      <c r="K1008" s="1539"/>
      <c r="P1008" s="461"/>
      <c r="Q1008" s="461"/>
      <c r="R1008" s="461"/>
    </row>
    <row r="1009" spans="11:18" s="368" customFormat="1">
      <c r="K1009" s="1539"/>
      <c r="P1009" s="461"/>
      <c r="Q1009" s="461"/>
      <c r="R1009" s="461"/>
    </row>
    <row r="1010" spans="11:18" s="368" customFormat="1">
      <c r="K1010" s="1539"/>
      <c r="P1010" s="461"/>
      <c r="Q1010" s="461"/>
      <c r="R1010" s="461"/>
    </row>
    <row r="1011" spans="11:18" s="368" customFormat="1">
      <c r="K1011" s="1539"/>
      <c r="P1011" s="461"/>
      <c r="Q1011" s="461"/>
      <c r="R1011" s="461"/>
    </row>
    <row r="1012" spans="11:18" s="368" customFormat="1">
      <c r="K1012" s="1539"/>
      <c r="P1012" s="461"/>
      <c r="Q1012" s="461"/>
      <c r="R1012" s="461"/>
    </row>
    <row r="1013" spans="11:18" s="368" customFormat="1">
      <c r="K1013" s="1539"/>
      <c r="P1013" s="461"/>
      <c r="Q1013" s="461"/>
      <c r="R1013" s="461"/>
    </row>
    <row r="1014" spans="11:18" s="368" customFormat="1">
      <c r="K1014" s="1539"/>
      <c r="P1014" s="461"/>
      <c r="Q1014" s="461"/>
      <c r="R1014" s="461"/>
    </row>
    <row r="1015" spans="11:18" s="368" customFormat="1">
      <c r="K1015" s="1539"/>
      <c r="P1015" s="461"/>
      <c r="Q1015" s="461"/>
      <c r="R1015" s="461"/>
    </row>
    <row r="1016" spans="11:18" s="368" customFormat="1">
      <c r="K1016" s="1539"/>
      <c r="P1016" s="461"/>
      <c r="Q1016" s="461"/>
      <c r="R1016" s="461"/>
    </row>
    <row r="1017" spans="11:18" s="368" customFormat="1">
      <c r="K1017" s="1539"/>
      <c r="P1017" s="461"/>
      <c r="Q1017" s="461"/>
      <c r="R1017" s="461"/>
    </row>
    <row r="1018" spans="11:18" s="368" customFormat="1">
      <c r="K1018" s="1539"/>
      <c r="P1018" s="461"/>
      <c r="Q1018" s="461"/>
      <c r="R1018" s="461"/>
    </row>
    <row r="1019" spans="11:18" s="368" customFormat="1">
      <c r="K1019" s="1539"/>
      <c r="P1019" s="461"/>
      <c r="Q1019" s="461"/>
      <c r="R1019" s="461"/>
    </row>
    <row r="1020" spans="11:18" s="368" customFormat="1">
      <c r="K1020" s="1539"/>
      <c r="P1020" s="461"/>
      <c r="Q1020" s="461"/>
      <c r="R1020" s="461"/>
    </row>
    <row r="1021" spans="11:18" s="368" customFormat="1">
      <c r="K1021" s="1539"/>
      <c r="P1021" s="461"/>
      <c r="Q1021" s="461"/>
      <c r="R1021" s="461"/>
    </row>
    <row r="1022" spans="11:18" s="368" customFormat="1">
      <c r="K1022" s="1539"/>
      <c r="P1022" s="461"/>
      <c r="Q1022" s="461"/>
      <c r="R1022" s="461"/>
    </row>
    <row r="1023" spans="11:18" s="368" customFormat="1">
      <c r="K1023" s="1539"/>
      <c r="P1023" s="461"/>
      <c r="Q1023" s="461"/>
      <c r="R1023" s="461"/>
    </row>
    <row r="1024" spans="11:18" s="368" customFormat="1">
      <c r="K1024" s="1539"/>
      <c r="P1024" s="461"/>
      <c r="Q1024" s="461"/>
      <c r="R1024" s="461"/>
    </row>
    <row r="1025" spans="11:18" s="368" customFormat="1">
      <c r="K1025" s="1539"/>
      <c r="P1025" s="461"/>
      <c r="Q1025" s="461"/>
      <c r="R1025" s="461"/>
    </row>
    <row r="1026" spans="11:18" s="368" customFormat="1">
      <c r="K1026" s="1539"/>
      <c r="P1026" s="461"/>
      <c r="Q1026" s="461"/>
      <c r="R1026" s="461"/>
    </row>
    <row r="1027" spans="11:18" s="368" customFormat="1">
      <c r="K1027" s="1539"/>
      <c r="P1027" s="461"/>
      <c r="Q1027" s="461"/>
      <c r="R1027" s="461"/>
    </row>
    <row r="1028" spans="11:18" s="368" customFormat="1">
      <c r="K1028" s="1539"/>
      <c r="P1028" s="461"/>
      <c r="Q1028" s="461"/>
      <c r="R1028" s="461"/>
    </row>
    <row r="1029" spans="11:18" s="368" customFormat="1">
      <c r="K1029" s="1539"/>
      <c r="P1029" s="461"/>
      <c r="Q1029" s="461"/>
      <c r="R1029" s="461"/>
    </row>
    <row r="1030" spans="11:18" s="368" customFormat="1">
      <c r="K1030" s="1539"/>
      <c r="P1030" s="461"/>
      <c r="Q1030" s="461"/>
      <c r="R1030" s="461"/>
    </row>
    <row r="1031" spans="11:18" s="368" customFormat="1">
      <c r="K1031" s="1539"/>
      <c r="P1031" s="461"/>
      <c r="Q1031" s="461"/>
      <c r="R1031" s="461"/>
    </row>
    <row r="1032" spans="11:18" s="368" customFormat="1">
      <c r="K1032" s="1539"/>
      <c r="P1032" s="461"/>
      <c r="Q1032" s="461"/>
      <c r="R1032" s="461"/>
    </row>
    <row r="1033" spans="11:18" s="368" customFormat="1">
      <c r="K1033" s="1539"/>
      <c r="P1033" s="461"/>
      <c r="Q1033" s="461"/>
      <c r="R1033" s="461"/>
    </row>
    <row r="1034" spans="11:18" s="368" customFormat="1">
      <c r="K1034" s="1539"/>
      <c r="P1034" s="461"/>
      <c r="Q1034" s="461"/>
      <c r="R1034" s="461"/>
    </row>
    <row r="1035" spans="11:18" s="368" customFormat="1">
      <c r="K1035" s="1539"/>
      <c r="P1035" s="461"/>
      <c r="Q1035" s="461"/>
      <c r="R1035" s="461"/>
    </row>
    <row r="1036" spans="11:18" s="368" customFormat="1">
      <c r="K1036" s="1539"/>
      <c r="P1036" s="461"/>
      <c r="Q1036" s="461"/>
      <c r="R1036" s="461"/>
    </row>
    <row r="1037" spans="11:18" s="368" customFormat="1">
      <c r="K1037" s="1539"/>
      <c r="P1037" s="461"/>
      <c r="Q1037" s="461"/>
      <c r="R1037" s="461"/>
    </row>
    <row r="1038" spans="11:18" s="368" customFormat="1">
      <c r="K1038" s="1539"/>
      <c r="P1038" s="461"/>
      <c r="Q1038" s="461"/>
      <c r="R1038" s="461"/>
    </row>
    <row r="1039" spans="11:18" s="368" customFormat="1">
      <c r="K1039" s="1539"/>
      <c r="P1039" s="461"/>
      <c r="Q1039" s="461"/>
      <c r="R1039" s="461"/>
    </row>
    <row r="1040" spans="11:18" s="368" customFormat="1">
      <c r="K1040" s="1539"/>
      <c r="P1040" s="461"/>
      <c r="Q1040" s="461"/>
      <c r="R1040" s="461"/>
    </row>
    <row r="1041" spans="11:18" s="368" customFormat="1">
      <c r="K1041" s="1539"/>
      <c r="P1041" s="461"/>
      <c r="Q1041" s="461"/>
      <c r="R1041" s="461"/>
    </row>
    <row r="1042" spans="11:18" s="368" customFormat="1">
      <c r="K1042" s="1539"/>
      <c r="P1042" s="461"/>
      <c r="Q1042" s="461"/>
      <c r="R1042" s="461"/>
    </row>
    <row r="1043" spans="11:18" s="368" customFormat="1">
      <c r="K1043" s="1539"/>
      <c r="P1043" s="461"/>
      <c r="Q1043" s="461"/>
      <c r="R1043" s="461"/>
    </row>
    <row r="1044" spans="11:18" s="368" customFormat="1">
      <c r="K1044" s="1539"/>
      <c r="P1044" s="461"/>
      <c r="Q1044" s="461"/>
      <c r="R1044" s="461"/>
    </row>
    <row r="1045" spans="11:18" s="368" customFormat="1">
      <c r="K1045" s="1539"/>
      <c r="P1045" s="461"/>
      <c r="Q1045" s="461"/>
      <c r="R1045" s="461"/>
    </row>
    <row r="1046" spans="11:18" s="368" customFormat="1">
      <c r="K1046" s="1539"/>
      <c r="P1046" s="461"/>
      <c r="Q1046" s="461"/>
      <c r="R1046" s="461"/>
    </row>
    <row r="1047" spans="11:18" s="368" customFormat="1">
      <c r="K1047" s="1539"/>
      <c r="P1047" s="461"/>
      <c r="Q1047" s="461"/>
      <c r="R1047" s="461"/>
    </row>
    <row r="1048" spans="11:18" s="368" customFormat="1">
      <c r="K1048" s="1539"/>
      <c r="P1048" s="461"/>
      <c r="Q1048" s="461"/>
      <c r="R1048" s="461"/>
    </row>
    <row r="1049" spans="11:18" s="368" customFormat="1">
      <c r="K1049" s="1539"/>
      <c r="P1049" s="461"/>
      <c r="Q1049" s="461"/>
      <c r="R1049" s="461"/>
    </row>
    <row r="1050" spans="11:18" s="368" customFormat="1">
      <c r="K1050" s="1539"/>
      <c r="P1050" s="461"/>
      <c r="Q1050" s="461"/>
      <c r="R1050" s="461"/>
    </row>
    <row r="1051" spans="11:18" s="368" customFormat="1">
      <c r="K1051" s="1539"/>
      <c r="P1051" s="461"/>
      <c r="Q1051" s="461"/>
      <c r="R1051" s="461"/>
    </row>
    <row r="1052" spans="11:18" s="368" customFormat="1">
      <c r="K1052" s="1539"/>
      <c r="P1052" s="461"/>
      <c r="Q1052" s="461"/>
      <c r="R1052" s="461"/>
    </row>
    <row r="1053" spans="11:18" s="368" customFormat="1">
      <c r="K1053" s="1539"/>
      <c r="P1053" s="461"/>
      <c r="Q1053" s="461"/>
      <c r="R1053" s="461"/>
    </row>
    <row r="1054" spans="11:18" s="368" customFormat="1">
      <c r="K1054" s="1539"/>
      <c r="P1054" s="461"/>
      <c r="Q1054" s="461"/>
      <c r="R1054" s="461"/>
    </row>
    <row r="1055" spans="11:18" s="368" customFormat="1">
      <c r="K1055" s="1539"/>
      <c r="P1055" s="461"/>
      <c r="Q1055" s="461"/>
      <c r="R1055" s="461"/>
    </row>
    <row r="1056" spans="11:18" s="368" customFormat="1">
      <c r="K1056" s="1539"/>
      <c r="P1056" s="461"/>
      <c r="Q1056" s="461"/>
      <c r="R1056" s="461"/>
    </row>
    <row r="1057" spans="11:18" s="368" customFormat="1">
      <c r="K1057" s="1539"/>
      <c r="P1057" s="461"/>
      <c r="Q1057" s="461"/>
      <c r="R1057" s="461"/>
    </row>
    <row r="1058" spans="11:18" s="368" customFormat="1">
      <c r="K1058" s="1539"/>
      <c r="P1058" s="461"/>
      <c r="Q1058" s="461"/>
      <c r="R1058" s="461"/>
    </row>
    <row r="1059" spans="11:18" s="368" customFormat="1">
      <c r="K1059" s="1539"/>
      <c r="P1059" s="461"/>
      <c r="Q1059" s="461"/>
      <c r="R1059" s="461"/>
    </row>
    <row r="1060" spans="11:18" s="368" customFormat="1">
      <c r="K1060" s="1539"/>
      <c r="P1060" s="461"/>
      <c r="Q1060" s="461"/>
      <c r="R1060" s="461"/>
    </row>
    <row r="1061" spans="11:18" s="368" customFormat="1">
      <c r="K1061" s="1539"/>
      <c r="P1061" s="461"/>
      <c r="Q1061" s="461"/>
      <c r="R1061" s="461"/>
    </row>
    <row r="1062" spans="11:18" s="368" customFormat="1">
      <c r="K1062" s="1539"/>
      <c r="P1062" s="461"/>
      <c r="Q1062" s="461"/>
      <c r="R1062" s="461"/>
    </row>
    <row r="1063" spans="11:18" s="368" customFormat="1">
      <c r="K1063" s="1539"/>
      <c r="P1063" s="461"/>
      <c r="Q1063" s="461"/>
      <c r="R1063" s="461"/>
    </row>
    <row r="1064" spans="11:18" s="368" customFormat="1">
      <c r="K1064" s="1539"/>
      <c r="P1064" s="461"/>
      <c r="Q1064" s="461"/>
      <c r="R1064" s="461"/>
    </row>
    <row r="1065" spans="11:18" s="368" customFormat="1">
      <c r="K1065" s="1539"/>
      <c r="P1065" s="461"/>
      <c r="Q1065" s="461"/>
      <c r="R1065" s="461"/>
    </row>
    <row r="1066" spans="11:18" s="368" customFormat="1">
      <c r="K1066" s="1539"/>
      <c r="P1066" s="461"/>
      <c r="Q1066" s="461"/>
      <c r="R1066" s="461"/>
    </row>
    <row r="1067" spans="11:18" s="368" customFormat="1">
      <c r="K1067" s="1539"/>
      <c r="P1067" s="461"/>
      <c r="Q1067" s="461"/>
      <c r="R1067" s="461"/>
    </row>
    <row r="1068" spans="11:18" s="368" customFormat="1">
      <c r="K1068" s="1539"/>
      <c r="P1068" s="461"/>
      <c r="Q1068" s="461"/>
      <c r="R1068" s="461"/>
    </row>
    <row r="1069" spans="11:18" s="368" customFormat="1">
      <c r="K1069" s="1539"/>
      <c r="P1069" s="461"/>
      <c r="Q1069" s="461"/>
      <c r="R1069" s="461"/>
    </row>
    <row r="1070" spans="11:18" s="368" customFormat="1">
      <c r="K1070" s="1539"/>
      <c r="P1070" s="461"/>
      <c r="Q1070" s="461"/>
      <c r="R1070" s="461"/>
    </row>
    <row r="1071" spans="11:18" s="368" customFormat="1">
      <c r="K1071" s="1539"/>
      <c r="P1071" s="461"/>
      <c r="Q1071" s="461"/>
      <c r="R1071" s="461"/>
    </row>
    <row r="1072" spans="11:18" s="368" customFormat="1">
      <c r="K1072" s="1539"/>
      <c r="P1072" s="461"/>
      <c r="Q1072" s="461"/>
      <c r="R1072" s="461"/>
    </row>
    <row r="1073" spans="11:18" s="368" customFormat="1">
      <c r="K1073" s="1539"/>
      <c r="P1073" s="461"/>
      <c r="Q1073" s="461"/>
      <c r="R1073" s="461"/>
    </row>
    <row r="1074" spans="11:18" s="368" customFormat="1">
      <c r="K1074" s="1539"/>
      <c r="P1074" s="461"/>
      <c r="Q1074" s="461"/>
      <c r="R1074" s="461"/>
    </row>
    <row r="1075" spans="11:18" s="368" customFormat="1">
      <c r="K1075" s="1539"/>
      <c r="P1075" s="461"/>
      <c r="Q1075" s="461"/>
      <c r="R1075" s="461"/>
    </row>
    <row r="1076" spans="11:18" s="368" customFormat="1">
      <c r="K1076" s="1539"/>
      <c r="P1076" s="461"/>
      <c r="Q1076" s="461"/>
      <c r="R1076" s="461"/>
    </row>
    <row r="1077" spans="11:18" s="368" customFormat="1">
      <c r="K1077" s="1539"/>
      <c r="P1077" s="461"/>
      <c r="Q1077" s="461"/>
      <c r="R1077" s="461"/>
    </row>
    <row r="1078" spans="11:18" s="368" customFormat="1">
      <c r="K1078" s="1539"/>
      <c r="P1078" s="461"/>
      <c r="Q1078" s="461"/>
      <c r="R1078" s="461"/>
    </row>
    <row r="1079" spans="11:18" s="368" customFormat="1">
      <c r="K1079" s="1539"/>
      <c r="P1079" s="461"/>
      <c r="Q1079" s="461"/>
      <c r="R1079" s="461"/>
    </row>
    <row r="1080" spans="11:18" s="368" customFormat="1">
      <c r="K1080" s="1539"/>
      <c r="P1080" s="461"/>
      <c r="Q1080" s="461"/>
      <c r="R1080" s="461"/>
    </row>
    <row r="1081" spans="11:18" s="368" customFormat="1">
      <c r="K1081" s="1539"/>
      <c r="P1081" s="461"/>
      <c r="Q1081" s="461"/>
      <c r="R1081" s="461"/>
    </row>
    <row r="1082" spans="11:18" s="368" customFormat="1">
      <c r="K1082" s="1539"/>
      <c r="P1082" s="461"/>
      <c r="Q1082" s="461"/>
      <c r="R1082" s="461"/>
    </row>
    <row r="1083" spans="11:18" s="368" customFormat="1">
      <c r="K1083" s="1539"/>
      <c r="P1083" s="461"/>
      <c r="Q1083" s="461"/>
      <c r="R1083" s="461"/>
    </row>
    <row r="1084" spans="11:18" s="368" customFormat="1">
      <c r="K1084" s="1539"/>
      <c r="P1084" s="461"/>
      <c r="Q1084" s="461"/>
      <c r="R1084" s="461"/>
    </row>
    <row r="1085" spans="11:18" s="368" customFormat="1">
      <c r="K1085" s="1539"/>
      <c r="P1085" s="461"/>
      <c r="Q1085" s="461"/>
      <c r="R1085" s="461"/>
    </row>
    <row r="1086" spans="11:18" s="368" customFormat="1">
      <c r="K1086" s="1539"/>
      <c r="P1086" s="461"/>
      <c r="Q1086" s="461"/>
      <c r="R1086" s="461"/>
    </row>
    <row r="1087" spans="11:18" s="368" customFormat="1">
      <c r="K1087" s="1539"/>
      <c r="P1087" s="461"/>
      <c r="Q1087" s="461"/>
      <c r="R1087" s="461"/>
    </row>
    <row r="1088" spans="11:18" s="368" customFormat="1">
      <c r="K1088" s="1539"/>
      <c r="P1088" s="461"/>
      <c r="Q1088" s="461"/>
      <c r="R1088" s="461"/>
    </row>
    <row r="1089" spans="11:18" s="368" customFormat="1">
      <c r="K1089" s="1539"/>
      <c r="P1089" s="461"/>
      <c r="Q1089" s="461"/>
      <c r="R1089" s="461"/>
    </row>
    <row r="1090" spans="11:18" s="368" customFormat="1">
      <c r="K1090" s="1539"/>
      <c r="P1090" s="461"/>
      <c r="Q1090" s="461"/>
      <c r="R1090" s="461"/>
    </row>
    <row r="1091" spans="11:18" s="368" customFormat="1">
      <c r="K1091" s="1539"/>
      <c r="P1091" s="461"/>
      <c r="Q1091" s="461"/>
      <c r="R1091" s="461"/>
    </row>
    <row r="1092" spans="11:18" s="368" customFormat="1">
      <c r="K1092" s="1539"/>
      <c r="P1092" s="461"/>
      <c r="Q1092" s="461"/>
      <c r="R1092" s="461"/>
    </row>
    <row r="1093" spans="11:18" s="368" customFormat="1">
      <c r="K1093" s="1539"/>
      <c r="P1093" s="461"/>
      <c r="Q1093" s="461"/>
      <c r="R1093" s="461"/>
    </row>
    <row r="1094" spans="11:18" s="368" customFormat="1">
      <c r="K1094" s="1539"/>
      <c r="P1094" s="461"/>
      <c r="Q1094" s="461"/>
      <c r="R1094" s="461"/>
    </row>
    <row r="1095" spans="11:18" s="368" customFormat="1">
      <c r="K1095" s="1539"/>
      <c r="P1095" s="461"/>
      <c r="Q1095" s="461"/>
      <c r="R1095" s="461"/>
    </row>
    <row r="1096" spans="11:18" s="368" customFormat="1">
      <c r="K1096" s="1539"/>
      <c r="P1096" s="461"/>
      <c r="Q1096" s="461"/>
      <c r="R1096" s="461"/>
    </row>
    <row r="1097" spans="11:18" s="368" customFormat="1">
      <c r="K1097" s="1539"/>
      <c r="P1097" s="461"/>
      <c r="Q1097" s="461"/>
      <c r="R1097" s="461"/>
    </row>
    <row r="1098" spans="11:18" s="368" customFormat="1">
      <c r="K1098" s="1539"/>
      <c r="P1098" s="461"/>
      <c r="Q1098" s="461"/>
      <c r="R1098" s="461"/>
    </row>
    <row r="1099" spans="11:18" s="368" customFormat="1">
      <c r="K1099" s="1539"/>
      <c r="P1099" s="461"/>
      <c r="Q1099" s="461"/>
      <c r="R1099" s="461"/>
    </row>
    <row r="1100" spans="11:18" s="368" customFormat="1">
      <c r="K1100" s="1539"/>
      <c r="P1100" s="461"/>
      <c r="Q1100" s="461"/>
      <c r="R1100" s="461"/>
    </row>
    <row r="1101" spans="11:18" s="368" customFormat="1">
      <c r="K1101" s="1539"/>
      <c r="P1101" s="461"/>
      <c r="Q1101" s="461"/>
      <c r="R1101" s="461"/>
    </row>
    <row r="1102" spans="11:18" s="368" customFormat="1">
      <c r="K1102" s="1539"/>
      <c r="P1102" s="461"/>
      <c r="Q1102" s="461"/>
      <c r="R1102" s="461"/>
    </row>
    <row r="1103" spans="11:18" s="368" customFormat="1">
      <c r="K1103" s="1539"/>
      <c r="P1103" s="461"/>
      <c r="Q1103" s="461"/>
      <c r="R1103" s="461"/>
    </row>
    <row r="1104" spans="11:18" s="368" customFormat="1">
      <c r="K1104" s="1539"/>
      <c r="P1104" s="461"/>
      <c r="Q1104" s="461"/>
      <c r="R1104" s="461"/>
    </row>
    <row r="1105" spans="11:18" s="368" customFormat="1">
      <c r="K1105" s="1539"/>
      <c r="P1105" s="461"/>
      <c r="Q1105" s="461"/>
      <c r="R1105" s="461"/>
    </row>
    <row r="1106" spans="11:18" s="368" customFormat="1">
      <c r="K1106" s="1539"/>
      <c r="P1106" s="461"/>
      <c r="Q1106" s="461"/>
      <c r="R1106" s="461"/>
    </row>
    <row r="1107" spans="11:18" s="368" customFormat="1">
      <c r="K1107" s="1539"/>
      <c r="P1107" s="461"/>
      <c r="Q1107" s="461"/>
      <c r="R1107" s="461"/>
    </row>
    <row r="1108" spans="11:18" s="368" customFormat="1">
      <c r="K1108" s="1539"/>
      <c r="P1108" s="461"/>
      <c r="Q1108" s="461"/>
      <c r="R1108" s="461"/>
    </row>
    <row r="1109" spans="11:18" s="368" customFormat="1">
      <c r="K1109" s="1539"/>
      <c r="P1109" s="461"/>
      <c r="Q1109" s="461"/>
      <c r="R1109" s="461"/>
    </row>
    <row r="1110" spans="11:18" s="368" customFormat="1">
      <c r="K1110" s="1539"/>
      <c r="P1110" s="461"/>
      <c r="Q1110" s="461"/>
      <c r="R1110" s="461"/>
    </row>
    <row r="1111" spans="11:18" s="368" customFormat="1">
      <c r="K1111" s="1539"/>
      <c r="P1111" s="461"/>
      <c r="Q1111" s="461"/>
      <c r="R1111" s="461"/>
    </row>
    <row r="1112" spans="11:18" s="368" customFormat="1">
      <c r="K1112" s="1539"/>
      <c r="P1112" s="461"/>
      <c r="Q1112" s="461"/>
      <c r="R1112" s="461"/>
    </row>
    <row r="1113" spans="11:18" s="368" customFormat="1">
      <c r="K1113" s="1539"/>
      <c r="P1113" s="461"/>
      <c r="Q1113" s="461"/>
      <c r="R1113" s="461"/>
    </row>
    <row r="1114" spans="11:18" s="368" customFormat="1">
      <c r="K1114" s="1539"/>
      <c r="P1114" s="461"/>
      <c r="Q1114" s="461"/>
      <c r="R1114" s="461"/>
    </row>
    <row r="1115" spans="11:18" s="368" customFormat="1">
      <c r="K1115" s="1539"/>
      <c r="P1115" s="461"/>
      <c r="Q1115" s="461"/>
      <c r="R1115" s="461"/>
    </row>
    <row r="1116" spans="11:18" s="368" customFormat="1">
      <c r="K1116" s="1539"/>
      <c r="P1116" s="461"/>
      <c r="Q1116" s="461"/>
      <c r="R1116" s="461"/>
    </row>
    <row r="1117" spans="11:18" s="368" customFormat="1">
      <c r="K1117" s="1539"/>
      <c r="P1117" s="461"/>
      <c r="Q1117" s="461"/>
      <c r="R1117" s="461"/>
    </row>
    <row r="1118" spans="11:18" s="368" customFormat="1">
      <c r="K1118" s="1539"/>
      <c r="P1118" s="461"/>
      <c r="Q1118" s="461"/>
      <c r="R1118" s="461"/>
    </row>
    <row r="1119" spans="11:18" s="368" customFormat="1">
      <c r="K1119" s="1539"/>
      <c r="P1119" s="461"/>
      <c r="Q1119" s="461"/>
      <c r="R1119" s="461"/>
    </row>
    <row r="1120" spans="11:18" s="368" customFormat="1">
      <c r="K1120" s="1539"/>
      <c r="P1120" s="461"/>
      <c r="Q1120" s="461"/>
      <c r="R1120" s="461"/>
    </row>
    <row r="1121" spans="11:18" s="368" customFormat="1">
      <c r="K1121" s="1539"/>
      <c r="P1121" s="461"/>
      <c r="Q1121" s="461"/>
      <c r="R1121" s="461"/>
    </row>
    <row r="1122" spans="11:18" s="368" customFormat="1">
      <c r="K1122" s="1539"/>
      <c r="P1122" s="461"/>
      <c r="Q1122" s="461"/>
      <c r="R1122" s="461"/>
    </row>
    <row r="1123" spans="11:18" s="368" customFormat="1">
      <c r="K1123" s="1539"/>
      <c r="P1123" s="461"/>
      <c r="Q1123" s="461"/>
      <c r="R1123" s="461"/>
    </row>
    <row r="1124" spans="11:18" s="368" customFormat="1">
      <c r="K1124" s="1539"/>
      <c r="P1124" s="461"/>
      <c r="Q1124" s="461"/>
      <c r="R1124" s="461"/>
    </row>
    <row r="1125" spans="11:18" s="368" customFormat="1">
      <c r="K1125" s="1539"/>
      <c r="P1125" s="461"/>
      <c r="Q1125" s="461"/>
      <c r="R1125" s="461"/>
    </row>
    <row r="1126" spans="11:18" s="368" customFormat="1">
      <c r="K1126" s="1539"/>
      <c r="P1126" s="461"/>
      <c r="Q1126" s="461"/>
      <c r="R1126" s="461"/>
    </row>
    <row r="1127" spans="11:18" s="368" customFormat="1">
      <c r="K1127" s="1539"/>
      <c r="P1127" s="461"/>
      <c r="Q1127" s="461"/>
      <c r="R1127" s="461"/>
    </row>
    <row r="1128" spans="11:18" s="368" customFormat="1">
      <c r="K1128" s="1539"/>
      <c r="P1128" s="461"/>
      <c r="Q1128" s="461"/>
      <c r="R1128" s="461"/>
    </row>
    <row r="1129" spans="11:18" s="368" customFormat="1">
      <c r="K1129" s="1539"/>
      <c r="P1129" s="461"/>
      <c r="Q1129" s="461"/>
      <c r="R1129" s="461"/>
    </row>
    <row r="1130" spans="11:18" s="368" customFormat="1">
      <c r="K1130" s="1539"/>
      <c r="P1130" s="461"/>
      <c r="Q1130" s="461"/>
      <c r="R1130" s="461"/>
    </row>
  </sheetData>
  <mergeCells count="271">
    <mergeCell ref="N82:N83"/>
    <mergeCell ref="O82:O83"/>
    <mergeCell ref="A91:D91"/>
    <mergeCell ref="A92:D92"/>
    <mergeCell ref="A93:D93"/>
    <mergeCell ref="A94:D94"/>
    <mergeCell ref="A95:D95"/>
    <mergeCell ref="H76:H80"/>
    <mergeCell ref="F76:F80"/>
    <mergeCell ref="G76:G80"/>
    <mergeCell ref="A85:D85"/>
    <mergeCell ref="A86:D86"/>
    <mergeCell ref="A87:D87"/>
    <mergeCell ref="A88:D88"/>
    <mergeCell ref="A89:D89"/>
    <mergeCell ref="A90:D90"/>
    <mergeCell ref="A84:D84"/>
    <mergeCell ref="E76:E80"/>
    <mergeCell ref="K75:K80"/>
    <mergeCell ref="A3:S3"/>
    <mergeCell ref="S18:S43"/>
    <mergeCell ref="M25:M27"/>
    <mergeCell ref="P25:P27"/>
    <mergeCell ref="Q25:Q27"/>
    <mergeCell ref="M15:M16"/>
    <mergeCell ref="C15:C16"/>
    <mergeCell ref="D15:D16"/>
    <mergeCell ref="E15:E16"/>
    <mergeCell ref="G15:G16"/>
    <mergeCell ref="A14:K14"/>
    <mergeCell ref="N42:N43"/>
    <mergeCell ref="O42:O43"/>
    <mergeCell ref="A10:M11"/>
    <mergeCell ref="L15:L16"/>
    <mergeCell ref="P15:R15"/>
    <mergeCell ref="R40:R41"/>
    <mergeCell ref="R42:R43"/>
    <mergeCell ref="M42:M43"/>
    <mergeCell ref="P42:P43"/>
    <mergeCell ref="Q42:Q43"/>
    <mergeCell ref="K18:K19"/>
    <mergeCell ref="M18:M19"/>
    <mergeCell ref="P18:P19"/>
    <mergeCell ref="S44:S45"/>
    <mergeCell ref="J73:J80"/>
    <mergeCell ref="A73:A74"/>
    <mergeCell ref="J82:J83"/>
    <mergeCell ref="B75:B80"/>
    <mergeCell ref="C75:C80"/>
    <mergeCell ref="L75:L80"/>
    <mergeCell ref="D76:D80"/>
    <mergeCell ref="I76:I80"/>
    <mergeCell ref="R57:R58"/>
    <mergeCell ref="R65:R66"/>
    <mergeCell ref="R70:R71"/>
    <mergeCell ref="K82:K83"/>
    <mergeCell ref="L82:L83"/>
    <mergeCell ref="M82:M83"/>
    <mergeCell ref="P82:P83"/>
    <mergeCell ref="Q82:Q83"/>
    <mergeCell ref="R82:R83"/>
    <mergeCell ref="P53:P54"/>
    <mergeCell ref="Q53:Q54"/>
    <mergeCell ref="Q51:Q52"/>
    <mergeCell ref="R51:R52"/>
    <mergeCell ref="P51:P52"/>
    <mergeCell ref="R53:R54"/>
    <mergeCell ref="R75:R76"/>
    <mergeCell ref="S60:S61"/>
    <mergeCell ref="Q75:Q76"/>
    <mergeCell ref="S73:S80"/>
    <mergeCell ref="P68:P69"/>
    <mergeCell ref="M68:M69"/>
    <mergeCell ref="P60:P61"/>
    <mergeCell ref="P49:P50"/>
    <mergeCell ref="Q73:Q74"/>
    <mergeCell ref="R73:R74"/>
    <mergeCell ref="N60:N61"/>
    <mergeCell ref="S49:S50"/>
    <mergeCell ref="S51:S52"/>
    <mergeCell ref="S53:S54"/>
    <mergeCell ref="S57:S58"/>
    <mergeCell ref="M70:M71"/>
    <mergeCell ref="P70:P71"/>
    <mergeCell ref="Q70:Q71"/>
    <mergeCell ref="Q68:Q69"/>
    <mergeCell ref="R68:R69"/>
    <mergeCell ref="N70:N71"/>
    <mergeCell ref="O70:O71"/>
    <mergeCell ref="M73:M74"/>
    <mergeCell ref="P73:P74"/>
    <mergeCell ref="A68:A69"/>
    <mergeCell ref="B68:B69"/>
    <mergeCell ref="C68:C69"/>
    <mergeCell ref="R60:R61"/>
    <mergeCell ref="L57:L58"/>
    <mergeCell ref="M57:M58"/>
    <mergeCell ref="P57:P58"/>
    <mergeCell ref="Q57:Q58"/>
    <mergeCell ref="K65:K66"/>
    <mergeCell ref="L65:L66"/>
    <mergeCell ref="M65:M66"/>
    <mergeCell ref="P65:P66"/>
    <mergeCell ref="Q65:Q66"/>
    <mergeCell ref="M60:M61"/>
    <mergeCell ref="O60:O61"/>
    <mergeCell ref="N65:N66"/>
    <mergeCell ref="O65:O66"/>
    <mergeCell ref="N57:N58"/>
    <mergeCell ref="O57:O58"/>
    <mergeCell ref="L60:L61"/>
    <mergeCell ref="N68:N69"/>
    <mergeCell ref="O68:O69"/>
    <mergeCell ref="A98:B98"/>
    <mergeCell ref="A25:A27"/>
    <mergeCell ref="K40:K41"/>
    <mergeCell ref="L49:L50"/>
    <mergeCell ref="A42:A43"/>
    <mergeCell ref="A49:A50"/>
    <mergeCell ref="B49:B50"/>
    <mergeCell ref="C49:C50"/>
    <mergeCell ref="K49:K50"/>
    <mergeCell ref="L25:L27"/>
    <mergeCell ref="A53:A54"/>
    <mergeCell ref="B53:B54"/>
    <mergeCell ref="C53:C54"/>
    <mergeCell ref="B73:B74"/>
    <mergeCell ref="C73:C74"/>
    <mergeCell ref="K73:K74"/>
    <mergeCell ref="L73:L74"/>
    <mergeCell ref="A70:A71"/>
    <mergeCell ref="A82:A83"/>
    <mergeCell ref="B82:B83"/>
    <mergeCell ref="C82:C83"/>
    <mergeCell ref="B70:B71"/>
    <mergeCell ref="C70:C71"/>
    <mergeCell ref="A75:A80"/>
    <mergeCell ref="B51:B52"/>
    <mergeCell ref="C51:C52"/>
    <mergeCell ref="K51:K52"/>
    <mergeCell ref="J44:J45"/>
    <mergeCell ref="J18:J43"/>
    <mergeCell ref="A65:A66"/>
    <mergeCell ref="A60:A61"/>
    <mergeCell ref="B60:B61"/>
    <mergeCell ref="C60:C61"/>
    <mergeCell ref="C57:C58"/>
    <mergeCell ref="K57:K58"/>
    <mergeCell ref="K60:K61"/>
    <mergeCell ref="B57:B58"/>
    <mergeCell ref="J57:J58"/>
    <mergeCell ref="J60:J61"/>
    <mergeCell ref="A57:A58"/>
    <mergeCell ref="K25:K27"/>
    <mergeCell ref="A18:A19"/>
    <mergeCell ref="A51:A52"/>
    <mergeCell ref="B65:B66"/>
    <mergeCell ref="C65:C66"/>
    <mergeCell ref="J65:J66"/>
    <mergeCell ref="N73:N74"/>
    <mergeCell ref="O73:O74"/>
    <mergeCell ref="K70:K71"/>
    <mergeCell ref="J68:J69"/>
    <mergeCell ref="J70:J71"/>
    <mergeCell ref="J49:J50"/>
    <mergeCell ref="R25:R27"/>
    <mergeCell ref="C25:C27"/>
    <mergeCell ref="F15:F16"/>
    <mergeCell ref="M44:M45"/>
    <mergeCell ref="Q49:Q50"/>
    <mergeCell ref="M51:M52"/>
    <mergeCell ref="J53:J54"/>
    <mergeCell ref="L53:L54"/>
    <mergeCell ref="M53:M54"/>
    <mergeCell ref="M49:M50"/>
    <mergeCell ref="L51:L52"/>
    <mergeCell ref="J51:J52"/>
    <mergeCell ref="Q40:Q41"/>
    <mergeCell ref="K53:K54"/>
    <mergeCell ref="O25:O27"/>
    <mergeCell ref="N40:N41"/>
    <mergeCell ref="O40:O41"/>
    <mergeCell ref="K15:K16"/>
    <mergeCell ref="N44:N45"/>
    <mergeCell ref="O44:O45"/>
    <mergeCell ref="M40:M41"/>
    <mergeCell ref="P40:P41"/>
    <mergeCell ref="H15:H16"/>
    <mergeCell ref="B40:B41"/>
    <mergeCell ref="J15:J16"/>
    <mergeCell ref="A15:A16"/>
    <mergeCell ref="B15:B16"/>
    <mergeCell ref="B42:B43"/>
    <mergeCell ref="A40:A41"/>
    <mergeCell ref="A44:A45"/>
    <mergeCell ref="B44:B45"/>
    <mergeCell ref="C44:C45"/>
    <mergeCell ref="C40:C41"/>
    <mergeCell ref="C42:C43"/>
    <mergeCell ref="A2:K2"/>
    <mergeCell ref="A12:S12"/>
    <mergeCell ref="R46:R47"/>
    <mergeCell ref="S46:S47"/>
    <mergeCell ref="A46:A47"/>
    <mergeCell ref="B46:B47"/>
    <mergeCell ref="C46:C47"/>
    <mergeCell ref="J46:J47"/>
    <mergeCell ref="K46:K47"/>
    <mergeCell ref="L46:L47"/>
    <mergeCell ref="M46:M47"/>
    <mergeCell ref="P46:P47"/>
    <mergeCell ref="Q46:Q47"/>
    <mergeCell ref="B25:B27"/>
    <mergeCell ref="P2:S2"/>
    <mergeCell ref="S15:S16"/>
    <mergeCell ref="B18:B19"/>
    <mergeCell ref="C18:C19"/>
    <mergeCell ref="I15:I16"/>
    <mergeCell ref="Q18:Q19"/>
    <mergeCell ref="R18:R19"/>
    <mergeCell ref="P44:P45"/>
    <mergeCell ref="Q44:Q45"/>
    <mergeCell ref="R44:R45"/>
    <mergeCell ref="T15:T16"/>
    <mergeCell ref="K17:T17"/>
    <mergeCell ref="T18:T19"/>
    <mergeCell ref="T25:T27"/>
    <mergeCell ref="T40:T41"/>
    <mergeCell ref="T42:T43"/>
    <mergeCell ref="T44:T45"/>
    <mergeCell ref="K48:T48"/>
    <mergeCell ref="T49:T50"/>
    <mergeCell ref="R49:R50"/>
    <mergeCell ref="L40:L41"/>
    <mergeCell ref="K44:K45"/>
    <mergeCell ref="L44:L45"/>
    <mergeCell ref="K42:K43"/>
    <mergeCell ref="L42:L43"/>
    <mergeCell ref="N15:O15"/>
    <mergeCell ref="N46:N47"/>
    <mergeCell ref="O46:O47"/>
    <mergeCell ref="N49:N50"/>
    <mergeCell ref="O49:O50"/>
    <mergeCell ref="L18:L19"/>
    <mergeCell ref="N18:N19"/>
    <mergeCell ref="O18:O19"/>
    <mergeCell ref="N25:N27"/>
    <mergeCell ref="T73:T74"/>
    <mergeCell ref="O84:T84"/>
    <mergeCell ref="T75:T80"/>
    <mergeCell ref="T51:T52"/>
    <mergeCell ref="T53:T54"/>
    <mergeCell ref="T57:T58"/>
    <mergeCell ref="K59:T59"/>
    <mergeCell ref="T60:T61"/>
    <mergeCell ref="T65:T66"/>
    <mergeCell ref="T68:T69"/>
    <mergeCell ref="T70:T71"/>
    <mergeCell ref="K72:T72"/>
    <mergeCell ref="L70:L71"/>
    <mergeCell ref="K68:K69"/>
    <mergeCell ref="L68:L69"/>
    <mergeCell ref="Q60:Q61"/>
    <mergeCell ref="N51:N52"/>
    <mergeCell ref="O51:O52"/>
    <mergeCell ref="N53:N54"/>
    <mergeCell ref="O53:O54"/>
    <mergeCell ref="S82:S83"/>
    <mergeCell ref="S68:S69"/>
    <mergeCell ref="S70:S71"/>
    <mergeCell ref="S65:S66"/>
  </mergeCells>
  <phoneticPr fontId="17" type="noConversion"/>
  <conditionalFormatting sqref="E15:K15 I16">
    <cfRule type="dataBar" priority="23">
      <dataBar>
        <cfvo type="min"/>
        <cfvo type="max"/>
        <color rgb="FF638EC6"/>
      </dataBar>
      <extLst>
        <ext xmlns:x14="http://schemas.microsoft.com/office/spreadsheetml/2009/9/main" uri="{B025F937-C7B1-47D3-B67F-A62EFF666E3E}">
          <x14:id>{0521AD24-E4FE-4337-B16A-F2B20FA85FBF}</x14:id>
        </ext>
      </extLst>
    </cfRule>
  </conditionalFormatting>
  <pageMargins left="0.7" right="0.7" top="0.75" bottom="0.75" header="0.3" footer="0.3"/>
  <pageSetup paperSize="8" scale="70"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0521AD24-E4FE-4337-B16A-F2B20FA85FBF}">
            <x14:dataBar minLength="0" maxLength="100" border="1" negativeBarBorderColorSameAsPositive="0">
              <x14:cfvo type="autoMin"/>
              <x14:cfvo type="autoMax"/>
              <x14:borderColor rgb="FF638EC6"/>
              <x14:negativeFillColor rgb="FFFF0000"/>
              <x14:negativeBorderColor rgb="FFFF0000"/>
              <x14:axisColor rgb="FF000000"/>
            </x14:dataBar>
          </x14:cfRule>
          <xm:sqref>E15:K15 I16</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CEE27-589B-48F3-82CA-C3BF7E8DD453}">
  <sheetPr codeName="Lapas14"/>
  <dimension ref="A1:R1262"/>
  <sheetViews>
    <sheetView topLeftCell="A216" zoomScaleNormal="100" workbookViewId="0">
      <selection activeCell="G224" sqref="G224:G235"/>
    </sheetView>
  </sheetViews>
  <sheetFormatPr defaultColWidth="9.15234375" defaultRowHeight="12.45"/>
  <cols>
    <col min="1" max="1" width="15.15234375" style="368" customWidth="1"/>
    <col min="2" max="2" width="37.3828125" style="368" customWidth="1"/>
    <col min="3" max="3" width="4.3046875" style="368" customWidth="1"/>
    <col min="4" max="4" width="8.15234375" style="368" customWidth="1"/>
    <col min="5" max="5" width="13.69140625" style="370" customWidth="1"/>
    <col min="6" max="6" width="13.53515625" style="370" customWidth="1"/>
    <col min="7" max="7" width="13.84375" style="370" customWidth="1"/>
    <col min="8" max="8" width="12.3828125" style="370" customWidth="1"/>
    <col min="9" max="9" width="15.69140625" style="368" hidden="1" customWidth="1"/>
    <col min="10" max="10" width="13.15234375" style="368" customWidth="1"/>
    <col min="11" max="11" width="66.69140625" style="1539" customWidth="1"/>
    <col min="12" max="12" width="15.3828125" style="368" customWidth="1"/>
    <col min="13" max="13" width="30.53515625" style="368" customWidth="1"/>
    <col min="14" max="14" width="20.15234375" style="368" customWidth="1"/>
    <col min="15" max="15" width="17.15234375" style="368" customWidth="1"/>
    <col min="16" max="16" width="16.3828125" style="368" customWidth="1"/>
    <col min="17" max="18" width="8.84375" customWidth="1"/>
    <col min="19" max="16384" width="9.15234375" style="368"/>
  </cols>
  <sheetData>
    <row r="1" spans="1:18" ht="25.5" customHeight="1">
      <c r="A1" s="1901" t="s">
        <v>1416</v>
      </c>
      <c r="B1" s="1901"/>
      <c r="C1" s="1901"/>
      <c r="D1" s="1901"/>
      <c r="E1" s="1901"/>
      <c r="F1" s="1901"/>
      <c r="G1" s="1901"/>
      <c r="H1" s="1901"/>
      <c r="I1" s="1901"/>
      <c r="J1" s="1901"/>
      <c r="K1" s="1901"/>
      <c r="L1" s="1901"/>
      <c r="M1" s="1901"/>
      <c r="N1" s="1901"/>
      <c r="O1" s="1901"/>
      <c r="Q1" s="368"/>
      <c r="R1" s="368"/>
    </row>
    <row r="2" spans="1:18" ht="29.25" customHeight="1">
      <c r="A2" s="1867" t="s">
        <v>2606</v>
      </c>
      <c r="B2" s="1867"/>
      <c r="C2" s="1867"/>
      <c r="D2" s="1867"/>
      <c r="E2" s="1867"/>
      <c r="F2" s="1867"/>
      <c r="G2" s="1867"/>
      <c r="H2" s="1867"/>
      <c r="I2" s="1867"/>
      <c r="J2" s="1867"/>
      <c r="K2" s="1867"/>
      <c r="L2" s="1867"/>
      <c r="M2" s="1867"/>
      <c r="N2" s="1867"/>
      <c r="O2" s="1867"/>
      <c r="Q2" s="368"/>
      <c r="R2" s="368"/>
    </row>
    <row r="3" spans="1:18" ht="15.75" customHeight="1">
      <c r="A3" s="605"/>
      <c r="B3" s="605"/>
      <c r="C3" s="605"/>
      <c r="D3" s="605"/>
      <c r="E3" s="605"/>
      <c r="F3" s="605"/>
      <c r="G3" s="605"/>
      <c r="H3" s="605"/>
      <c r="I3" s="605"/>
      <c r="J3" s="605"/>
      <c r="K3" s="1489"/>
      <c r="L3" s="374"/>
      <c r="M3" s="374"/>
      <c r="N3" s="374"/>
      <c r="O3" s="374"/>
      <c r="Q3" s="368"/>
      <c r="R3" s="368"/>
    </row>
    <row r="4" spans="1:18" s="374" customFormat="1" ht="11.6">
      <c r="A4" s="374" t="str">
        <f>A15</f>
        <v>06.01.01 (T)</v>
      </c>
      <c r="B4" s="374" t="str">
        <f>B15</f>
        <v>Užtikrinti efektyvią savivaldybės biudžetinių socialinių paslaugų įstaigų veiklą</v>
      </c>
      <c r="C4" s="607"/>
      <c r="D4" s="607"/>
      <c r="E4" s="607"/>
      <c r="F4" s="607"/>
      <c r="G4" s="607"/>
      <c r="H4" s="607"/>
      <c r="K4" s="1489"/>
    </row>
    <row r="5" spans="1:18" s="374" customFormat="1" ht="11.6">
      <c r="A5" s="374" t="str">
        <f>A34</f>
        <v>06.01.02. (T)</v>
      </c>
      <c r="B5" s="374" t="str">
        <f>B34</f>
        <v>Užtikrinti socialinių išmokų ir kompensacijų mokėjimą</v>
      </c>
      <c r="C5" s="607"/>
      <c r="D5" s="607"/>
      <c r="E5" s="607"/>
      <c r="F5" s="607"/>
      <c r="G5" s="607"/>
      <c r="H5" s="607"/>
      <c r="K5" s="1489"/>
    </row>
    <row r="6" spans="1:18" s="374" customFormat="1" ht="10.95" customHeight="1">
      <c r="A6" s="374" t="str">
        <f>A103</f>
        <v>06.01.03. (T)</v>
      </c>
      <c r="B6" s="374" t="str">
        <f>B103</f>
        <v>Pagerinti  ir plėsti socialinių paslaugų kokybę ir prieinamumą, sukurti jų plėtrai reikalingą  infrastruktūrą</v>
      </c>
      <c r="C6" s="607"/>
      <c r="D6" s="607"/>
      <c r="E6" s="607"/>
      <c r="F6" s="607"/>
      <c r="G6" s="607"/>
      <c r="H6" s="607"/>
      <c r="K6" s="1489"/>
    </row>
    <row r="7" spans="1:18" s="374" customFormat="1" ht="11.6">
      <c r="A7" s="374" t="str">
        <f>A158</f>
        <v>06.02.01. (T)</v>
      </c>
      <c r="B7" s="374" t="str">
        <f>B158</f>
        <v>Skatinti socialinių paslaugų plėtrą bendruomenėje</v>
      </c>
      <c r="C7" s="607"/>
      <c r="D7" s="607"/>
      <c r="E7" s="607"/>
      <c r="F7" s="607"/>
      <c r="G7" s="607"/>
      <c r="H7" s="607"/>
      <c r="K7" s="1489"/>
    </row>
    <row r="8" spans="1:18" s="374" customFormat="1" ht="11.6">
      <c r="K8" s="1489"/>
    </row>
    <row r="9" spans="1:18" ht="16.2" customHeight="1">
      <c r="A9" s="1867" t="s">
        <v>2877</v>
      </c>
      <c r="B9" s="1867"/>
      <c r="C9" s="1867"/>
      <c r="D9" s="1867"/>
      <c r="E9" s="1867"/>
      <c r="F9" s="1867"/>
      <c r="G9" s="1867"/>
      <c r="H9" s="1867"/>
      <c r="I9" s="448"/>
      <c r="J9" s="449"/>
      <c r="K9" s="1489"/>
      <c r="L9" s="374"/>
      <c r="M9" s="374"/>
      <c r="N9" s="374"/>
      <c r="O9" s="374"/>
      <c r="Q9" s="368"/>
      <c r="R9" s="368"/>
    </row>
    <row r="10" spans="1:18" ht="20.25" customHeight="1">
      <c r="A10" s="1867" t="s">
        <v>2737</v>
      </c>
      <c r="B10" s="1867"/>
      <c r="C10" s="1867"/>
      <c r="D10" s="1867"/>
      <c r="E10" s="1867"/>
      <c r="F10" s="1867"/>
      <c r="G10" s="1867"/>
      <c r="H10" s="1867"/>
      <c r="I10" s="1867"/>
      <c r="J10" s="449"/>
      <c r="K10" s="1489"/>
      <c r="L10" s="374"/>
      <c r="M10" s="374"/>
      <c r="N10" s="374"/>
      <c r="O10" s="374"/>
      <c r="Q10" s="368"/>
      <c r="R10" s="368"/>
    </row>
    <row r="11" spans="1:18" s="374" customFormat="1" ht="7.5" customHeight="1">
      <c r="A11" s="459"/>
      <c r="K11" s="1489"/>
    </row>
    <row r="12" spans="1:18" ht="12.75" customHeight="1">
      <c r="A12" s="1867" t="s">
        <v>3699</v>
      </c>
      <c r="B12" s="1867"/>
      <c r="C12" s="1867"/>
      <c r="D12" s="1867"/>
      <c r="E12" s="1867"/>
      <c r="F12" s="1867"/>
      <c r="G12" s="1867"/>
      <c r="H12" s="1867"/>
      <c r="I12" s="1867"/>
      <c r="J12" s="1867"/>
      <c r="K12" s="1867"/>
      <c r="L12" s="1867"/>
      <c r="M12" s="1867"/>
      <c r="N12" s="1867"/>
      <c r="O12" s="1867"/>
      <c r="Q12" s="368"/>
      <c r="R12" s="368"/>
    </row>
    <row r="13" spans="1:18" s="461" customFormat="1" ht="45" customHeight="1">
      <c r="A13" s="1846" t="s">
        <v>994</v>
      </c>
      <c r="B13" s="1846" t="s">
        <v>1933</v>
      </c>
      <c r="C13" s="1980" t="s">
        <v>1318</v>
      </c>
      <c r="D13" s="1980" t="s">
        <v>1319</v>
      </c>
      <c r="E13" s="1846" t="s">
        <v>2857</v>
      </c>
      <c r="F13" s="1681" t="s">
        <v>2874</v>
      </c>
      <c r="G13" s="1681" t="s">
        <v>2858</v>
      </c>
      <c r="H13" s="1681" t="s">
        <v>2859</v>
      </c>
      <c r="I13" s="1846" t="s">
        <v>1950</v>
      </c>
      <c r="J13" s="1846" t="s">
        <v>2610</v>
      </c>
      <c r="K13" s="1846" t="s">
        <v>2750</v>
      </c>
      <c r="L13" s="1680" t="s">
        <v>2861</v>
      </c>
      <c r="M13" s="1680" t="s">
        <v>2864</v>
      </c>
      <c r="N13" s="1902" t="s">
        <v>2865</v>
      </c>
      <c r="O13" s="1904"/>
      <c r="P13" s="1680" t="s">
        <v>3733</v>
      </c>
    </row>
    <row r="14" spans="1:18" s="461" customFormat="1" ht="51" customHeight="1">
      <c r="A14" s="1846"/>
      <c r="B14" s="1846"/>
      <c r="C14" s="1980"/>
      <c r="D14" s="1980"/>
      <c r="E14" s="1846"/>
      <c r="F14" s="1682"/>
      <c r="G14" s="1682"/>
      <c r="H14" s="1682"/>
      <c r="I14" s="1846"/>
      <c r="J14" s="1846"/>
      <c r="K14" s="1846"/>
      <c r="L14" s="1680"/>
      <c r="M14" s="1680"/>
      <c r="N14" s="507" t="s">
        <v>2862</v>
      </c>
      <c r="O14" s="507" t="s">
        <v>2863</v>
      </c>
      <c r="P14" s="1680"/>
    </row>
    <row r="15" spans="1:18" ht="39" customHeight="1">
      <c r="A15" s="496" t="s">
        <v>2028</v>
      </c>
      <c r="B15" s="496" t="s">
        <v>1417</v>
      </c>
      <c r="C15" s="496"/>
      <c r="D15" s="496"/>
      <c r="E15" s="1202">
        <f>SUM(E21,)</f>
        <v>1555.0619999999999</v>
      </c>
      <c r="F15" s="1202">
        <f>SUM(F21,)</f>
        <v>1497.8300000000002</v>
      </c>
      <c r="G15" s="1202">
        <f t="shared" ref="G15" si="0">SUM(G21,)</f>
        <v>1436.0620000000001</v>
      </c>
      <c r="H15" s="1203">
        <f>G15/F15</f>
        <v>0.95876167522348998</v>
      </c>
      <c r="I15" s="691">
        <f>SUM(I21,)</f>
        <v>1498.7830000000001</v>
      </c>
      <c r="J15" s="496" t="s">
        <v>2259</v>
      </c>
      <c r="K15" s="2000"/>
      <c r="L15" s="2000"/>
      <c r="M15" s="2000"/>
      <c r="N15" s="2000"/>
      <c r="O15" s="2000"/>
      <c r="P15" s="2000"/>
      <c r="Q15" s="368"/>
      <c r="R15" s="368"/>
    </row>
    <row r="16" spans="1:18" ht="20.149999999999999" customHeight="1">
      <c r="A16" s="1883" t="s">
        <v>2027</v>
      </c>
      <c r="B16" s="1911" t="s">
        <v>1418</v>
      </c>
      <c r="C16" s="1958" t="s">
        <v>1325</v>
      </c>
      <c r="D16" s="659" t="s">
        <v>668</v>
      </c>
      <c r="E16" s="1204">
        <f>SUM(E22,E28)</f>
        <v>1101.68</v>
      </c>
      <c r="F16" s="1204">
        <f t="shared" ref="F16:G16" si="1">SUM(F22,F28)</f>
        <v>986.04500000000007</v>
      </c>
      <c r="G16" s="1204">
        <f t="shared" si="1"/>
        <v>924.28</v>
      </c>
      <c r="H16" s="1205">
        <f>G16/F16</f>
        <v>0.93736087095416532</v>
      </c>
      <c r="I16" s="734">
        <f>SUM(I22,I28,I33)</f>
        <v>1050.3</v>
      </c>
      <c r="J16" s="1701" t="s">
        <v>1187</v>
      </c>
      <c r="K16" s="1642" t="s">
        <v>3459</v>
      </c>
      <c r="L16" s="1638" t="s">
        <v>842</v>
      </c>
      <c r="M16" s="1638" t="s">
        <v>1779</v>
      </c>
      <c r="N16" s="1638" t="s">
        <v>1562</v>
      </c>
      <c r="O16" s="1638" t="s">
        <v>1776</v>
      </c>
      <c r="P16" s="2001" t="s">
        <v>3543</v>
      </c>
      <c r="Q16" s="368"/>
      <c r="R16" s="368"/>
    </row>
    <row r="17" spans="1:18" ht="21" customHeight="1">
      <c r="A17" s="1766"/>
      <c r="B17" s="1912"/>
      <c r="C17" s="1972"/>
      <c r="D17" s="656" t="s">
        <v>1549</v>
      </c>
      <c r="E17" s="1204">
        <f>SUM(E23,E29)</f>
        <v>371.255</v>
      </c>
      <c r="F17" s="1204">
        <f t="shared" ref="F17:G17" si="2">SUM(F23,F29)</f>
        <v>372.35499999999996</v>
      </c>
      <c r="G17" s="1204">
        <f t="shared" si="2"/>
        <v>372.35200000000003</v>
      </c>
      <c r="H17" s="1205">
        <f>G17/F17</f>
        <v>0.99999194317251028</v>
      </c>
      <c r="I17" s="734">
        <f>SUM(I23,I29)</f>
        <v>392.18</v>
      </c>
      <c r="J17" s="1882"/>
      <c r="K17" s="1642"/>
      <c r="L17" s="1638"/>
      <c r="M17" s="1638"/>
      <c r="N17" s="1638"/>
      <c r="O17" s="1638"/>
      <c r="P17" s="1992"/>
      <c r="Q17" s="368"/>
      <c r="R17" s="368"/>
    </row>
    <row r="18" spans="1:18" ht="21" hidden="1" customHeight="1">
      <c r="A18" s="1766"/>
      <c r="B18" s="1912"/>
      <c r="C18" s="1972"/>
      <c r="D18" s="656" t="s">
        <v>2822</v>
      </c>
      <c r="E18" s="1204"/>
      <c r="F18" s="1206"/>
      <c r="G18" s="1206"/>
      <c r="H18" s="1205" t="e">
        <f t="shared" ref="H18" si="3">G18/F18-1</f>
        <v>#DIV/0!</v>
      </c>
      <c r="I18" s="734">
        <f>I24</f>
        <v>0.30299999999999999</v>
      </c>
      <c r="J18" s="1882"/>
      <c r="K18" s="1642"/>
      <c r="L18" s="1638"/>
      <c r="M18" s="1638"/>
      <c r="N18" s="1638"/>
      <c r="O18" s="1638"/>
      <c r="P18" s="1992"/>
      <c r="Q18" s="368"/>
      <c r="R18" s="368"/>
    </row>
    <row r="19" spans="1:18" ht="20.149999999999999" customHeight="1">
      <c r="A19" s="1766"/>
      <c r="B19" s="1912"/>
      <c r="C19" s="1972"/>
      <c r="D19" s="656" t="s">
        <v>1349</v>
      </c>
      <c r="E19" s="1204">
        <f>SUM(E25,E30)</f>
        <v>82.12700000000001</v>
      </c>
      <c r="F19" s="1204">
        <f t="shared" ref="F19:G19" si="4">SUM(F25,F30)</f>
        <v>93.027999999999992</v>
      </c>
      <c r="G19" s="1204">
        <f t="shared" si="4"/>
        <v>93.027999999999992</v>
      </c>
      <c r="H19" s="1205">
        <f>G19/F19</f>
        <v>1</v>
      </c>
      <c r="I19" s="734">
        <f t="shared" ref="I19:I20" si="5">SUM(I25,I30)</f>
        <v>56</v>
      </c>
      <c r="J19" s="1882"/>
      <c r="K19" s="1642"/>
      <c r="L19" s="1638"/>
      <c r="M19" s="1638"/>
      <c r="N19" s="1638"/>
      <c r="O19" s="1638"/>
      <c r="P19" s="1992"/>
      <c r="Q19" s="368"/>
      <c r="R19" s="368"/>
    </row>
    <row r="20" spans="1:18" ht="24" customHeight="1">
      <c r="A20" s="1766"/>
      <c r="B20" s="1912"/>
      <c r="C20" s="1972"/>
      <c r="D20" s="656" t="s">
        <v>1548</v>
      </c>
      <c r="E20" s="1204">
        <f>SUM(E26,E31)</f>
        <v>0</v>
      </c>
      <c r="F20" s="1204">
        <f>F26+F31</f>
        <v>46.402000000000001</v>
      </c>
      <c r="G20" s="1204">
        <f>G26+G31</f>
        <v>46.402000000000001</v>
      </c>
      <c r="H20" s="1205">
        <f>G20/F20</f>
        <v>1</v>
      </c>
      <c r="I20" s="734">
        <f t="shared" si="5"/>
        <v>0</v>
      </c>
      <c r="J20" s="1882"/>
      <c r="K20" s="1642"/>
      <c r="L20" s="1638"/>
      <c r="M20" s="1638"/>
      <c r="N20" s="1638"/>
      <c r="O20" s="1638"/>
      <c r="P20" s="1992"/>
      <c r="Q20" s="368"/>
      <c r="R20" s="368"/>
    </row>
    <row r="21" spans="1:18" ht="29.25" customHeight="1">
      <c r="A21" s="1767"/>
      <c r="B21" s="2024"/>
      <c r="C21" s="1957"/>
      <c r="D21" s="705" t="s">
        <v>1321</v>
      </c>
      <c r="E21" s="1207">
        <f>SUM(E16:E20)</f>
        <v>1555.0619999999999</v>
      </c>
      <c r="F21" s="1207">
        <f t="shared" ref="F21:G21" si="6">SUM(F16:F20)</f>
        <v>1497.8300000000002</v>
      </c>
      <c r="G21" s="1207">
        <f t="shared" si="6"/>
        <v>1436.0620000000001</v>
      </c>
      <c r="H21" s="1208">
        <f>G21/F21</f>
        <v>0.95876167522348998</v>
      </c>
      <c r="I21" s="706">
        <f t="shared" ref="I21" si="7">SUM(I16:I20)</f>
        <v>1498.7830000000001</v>
      </c>
      <c r="J21" s="1702"/>
      <c r="K21" s="1641"/>
      <c r="L21" s="1639"/>
      <c r="M21" s="1639"/>
      <c r="N21" s="1639"/>
      <c r="O21" s="1639"/>
      <c r="P21" s="1993"/>
      <c r="Q21" s="368"/>
      <c r="R21" s="368"/>
    </row>
    <row r="22" spans="1:18" ht="20.149999999999999" hidden="1" customHeight="1">
      <c r="A22" s="1940"/>
      <c r="B22" s="1823" t="s">
        <v>1419</v>
      </c>
      <c r="C22" s="1942" t="s">
        <v>1573</v>
      </c>
      <c r="D22" s="962" t="s">
        <v>668</v>
      </c>
      <c r="E22" s="538">
        <v>550.19000000000005</v>
      </c>
      <c r="F22" s="538">
        <v>445.48399999999998</v>
      </c>
      <c r="G22" s="538">
        <v>401.80099999999999</v>
      </c>
      <c r="H22" s="536"/>
      <c r="I22" s="1210">
        <f>435.41-8.524-0.35</f>
        <v>426.536</v>
      </c>
      <c r="J22" s="538"/>
      <c r="K22" s="1944" t="s">
        <v>1777</v>
      </c>
      <c r="L22" s="1823"/>
      <c r="M22" s="1823"/>
      <c r="N22" s="1822"/>
      <c r="O22" s="1822"/>
      <c r="P22" s="1187"/>
      <c r="Q22" s="368"/>
      <c r="R22" s="368"/>
    </row>
    <row r="23" spans="1:18" ht="20.149999999999999" hidden="1" customHeight="1">
      <c r="A23" s="1941"/>
      <c r="B23" s="1927"/>
      <c r="C23" s="1943"/>
      <c r="D23" s="617" t="s">
        <v>1549</v>
      </c>
      <c r="E23" s="537">
        <v>349.9</v>
      </c>
      <c r="F23" s="538">
        <v>349.9</v>
      </c>
      <c r="G23" s="538">
        <v>349.28500000000003</v>
      </c>
      <c r="H23" s="536"/>
      <c r="I23" s="537">
        <f>366.18</f>
        <v>366.18</v>
      </c>
      <c r="J23" s="1211"/>
      <c r="K23" s="2025"/>
      <c r="L23" s="1927"/>
      <c r="M23" s="1927"/>
      <c r="N23" s="1945"/>
      <c r="O23" s="1945"/>
      <c r="P23" s="1187"/>
      <c r="Q23" s="368"/>
      <c r="R23" s="368"/>
    </row>
    <row r="24" spans="1:18" ht="20.149999999999999" hidden="1" customHeight="1">
      <c r="A24" s="1941"/>
      <c r="B24" s="1927"/>
      <c r="C24" s="1943"/>
      <c r="D24" s="617" t="s">
        <v>2754</v>
      </c>
      <c r="E24" s="537"/>
      <c r="F24" s="538"/>
      <c r="G24" s="538"/>
      <c r="H24" s="536"/>
      <c r="I24" s="541">
        <v>0.30299999999999999</v>
      </c>
      <c r="J24" s="1211"/>
      <c r="K24" s="2025"/>
      <c r="L24" s="1927"/>
      <c r="M24" s="1927"/>
      <c r="N24" s="1945"/>
      <c r="O24" s="1945"/>
      <c r="P24" s="1187"/>
      <c r="Q24" s="368"/>
      <c r="R24" s="368"/>
    </row>
    <row r="25" spans="1:18" ht="20.149999999999999" hidden="1" customHeight="1">
      <c r="A25" s="1941"/>
      <c r="B25" s="1927"/>
      <c r="C25" s="1943"/>
      <c r="D25" s="617" t="s">
        <v>1349</v>
      </c>
      <c r="E25" s="537">
        <v>69.102000000000004</v>
      </c>
      <c r="F25" s="538">
        <v>70.608999999999995</v>
      </c>
      <c r="G25" s="538">
        <v>70.608999999999995</v>
      </c>
      <c r="H25" s="536"/>
      <c r="I25" s="869">
        <f>26.76+8.524</f>
        <v>35.283999999999999</v>
      </c>
      <c r="J25" s="1211"/>
      <c r="K25" s="2025"/>
      <c r="L25" s="1927"/>
      <c r="M25" s="1927"/>
      <c r="N25" s="1945"/>
      <c r="O25" s="1945"/>
      <c r="P25" s="1187"/>
      <c r="Q25" s="368"/>
      <c r="R25" s="368"/>
    </row>
    <row r="26" spans="1:18" ht="20.149999999999999" hidden="1" customHeight="1">
      <c r="A26" s="1941"/>
      <c r="B26" s="1927"/>
      <c r="C26" s="1943"/>
      <c r="D26" s="617" t="s">
        <v>1548</v>
      </c>
      <c r="E26" s="537"/>
      <c r="F26" s="1210">
        <v>28.077999999999999</v>
      </c>
      <c r="G26" s="1210">
        <f>F26</f>
        <v>28.077999999999999</v>
      </c>
      <c r="H26" s="536"/>
      <c r="I26" s="537">
        <v>0</v>
      </c>
      <c r="J26" s="1211"/>
      <c r="K26" s="2025"/>
      <c r="L26" s="1927"/>
      <c r="M26" s="1927"/>
      <c r="N26" s="1945"/>
      <c r="O26" s="1945"/>
      <c r="P26" s="1187"/>
      <c r="Q26" s="368"/>
      <c r="R26" s="368"/>
    </row>
    <row r="27" spans="1:18" ht="20.149999999999999" hidden="1" customHeight="1">
      <c r="A27" s="1941"/>
      <c r="B27" s="1927"/>
      <c r="C27" s="1943"/>
      <c r="D27" s="613" t="s">
        <v>2609</v>
      </c>
      <c r="E27" s="1007">
        <f>SUM(E22:E26)</f>
        <v>969.19200000000001</v>
      </c>
      <c r="F27" s="1007">
        <f t="shared" ref="F27:G27" si="8">SUM(F22:F26)</f>
        <v>894.07100000000003</v>
      </c>
      <c r="G27" s="1007">
        <f t="shared" si="8"/>
        <v>849.77300000000002</v>
      </c>
      <c r="H27" s="1025"/>
      <c r="I27" s="1007">
        <f t="shared" ref="I27" si="9">SUM(I22:I26)</f>
        <v>828.303</v>
      </c>
      <c r="J27" s="1007"/>
      <c r="K27" s="2025"/>
      <c r="L27" s="1927"/>
      <c r="M27" s="1927"/>
      <c r="N27" s="1823"/>
      <c r="O27" s="1823"/>
      <c r="P27" s="1187"/>
      <c r="Q27" s="368"/>
      <c r="R27" s="368"/>
    </row>
    <row r="28" spans="1:18" ht="20.149999999999999" hidden="1" customHeight="1">
      <c r="A28" s="1940"/>
      <c r="B28" s="1823" t="s">
        <v>1420</v>
      </c>
      <c r="C28" s="1942" t="s">
        <v>1574</v>
      </c>
      <c r="D28" s="962" t="s">
        <v>668</v>
      </c>
      <c r="E28" s="538">
        <v>551.49</v>
      </c>
      <c r="F28" s="538">
        <v>540.56100000000004</v>
      </c>
      <c r="G28" s="538">
        <v>522.47900000000004</v>
      </c>
      <c r="H28" s="536"/>
      <c r="I28" s="1210">
        <f>604.24-9.476</f>
        <v>594.76400000000001</v>
      </c>
      <c r="J28" s="538"/>
      <c r="K28" s="1944" t="s">
        <v>1778</v>
      </c>
      <c r="L28" s="1823"/>
      <c r="M28" s="2007"/>
      <c r="N28" s="2005"/>
      <c r="O28" s="2005"/>
      <c r="P28" s="1187"/>
      <c r="Q28" s="368"/>
      <c r="R28" s="368"/>
    </row>
    <row r="29" spans="1:18" ht="20.149999999999999" hidden="1" customHeight="1">
      <c r="A29" s="1940"/>
      <c r="B29" s="1823"/>
      <c r="C29" s="1942"/>
      <c r="D29" s="617" t="s">
        <v>1549</v>
      </c>
      <c r="E29" s="538">
        <v>21.355</v>
      </c>
      <c r="F29" s="538">
        <v>22.454999999999998</v>
      </c>
      <c r="G29" s="538">
        <v>23.067</v>
      </c>
      <c r="H29" s="536"/>
      <c r="I29" s="537">
        <v>26</v>
      </c>
      <c r="J29" s="1212"/>
      <c r="K29" s="1944"/>
      <c r="L29" s="1823"/>
      <c r="M29" s="2007"/>
      <c r="N29" s="2006"/>
      <c r="O29" s="2006"/>
      <c r="P29" s="1187"/>
      <c r="Q29" s="368"/>
      <c r="R29" s="368"/>
    </row>
    <row r="30" spans="1:18" ht="20.149999999999999" hidden="1" customHeight="1">
      <c r="A30" s="1940"/>
      <c r="B30" s="1823"/>
      <c r="C30" s="1942"/>
      <c r="D30" s="617" t="s">
        <v>1349</v>
      </c>
      <c r="E30" s="538">
        <v>13.025</v>
      </c>
      <c r="F30" s="538">
        <v>22.419</v>
      </c>
      <c r="G30" s="538">
        <v>22.419</v>
      </c>
      <c r="H30" s="536"/>
      <c r="I30" s="869">
        <f>11.24+9.476</f>
        <v>20.716000000000001</v>
      </c>
      <c r="J30" s="1212"/>
      <c r="K30" s="1944"/>
      <c r="L30" s="1823"/>
      <c r="M30" s="2007"/>
      <c r="N30" s="2006"/>
      <c r="O30" s="2006"/>
      <c r="P30" s="1187"/>
      <c r="Q30" s="368"/>
      <c r="R30" s="368"/>
    </row>
    <row r="31" spans="1:18" ht="20.149999999999999" hidden="1" customHeight="1">
      <c r="A31" s="1941"/>
      <c r="B31" s="1927"/>
      <c r="C31" s="1943"/>
      <c r="D31" s="617" t="s">
        <v>1548</v>
      </c>
      <c r="E31" s="1007"/>
      <c r="F31" s="1213">
        <v>18.324000000000002</v>
      </c>
      <c r="G31" s="1213">
        <v>18.324000000000002</v>
      </c>
      <c r="H31" s="1025"/>
      <c r="I31" s="537">
        <v>0</v>
      </c>
      <c r="J31" s="1211"/>
      <c r="K31" s="2025"/>
      <c r="L31" s="1927"/>
      <c r="M31" s="2026"/>
      <c r="N31" s="2006"/>
      <c r="O31" s="2006"/>
      <c r="P31" s="1187"/>
      <c r="Q31" s="368"/>
      <c r="R31" s="368"/>
    </row>
    <row r="32" spans="1:18" ht="20.149999999999999" hidden="1" customHeight="1">
      <c r="A32" s="1941"/>
      <c r="B32" s="1927"/>
      <c r="C32" s="1943"/>
      <c r="D32" s="613" t="s">
        <v>2609</v>
      </c>
      <c r="E32" s="1007">
        <f>SUM(E28:E31)</f>
        <v>585.87</v>
      </c>
      <c r="F32" s="1007">
        <f t="shared" ref="F32:G32" si="10">SUM(F28:F31)</f>
        <v>603.75900000000001</v>
      </c>
      <c r="G32" s="1007">
        <f t="shared" si="10"/>
        <v>586.28899999999999</v>
      </c>
      <c r="H32" s="1025"/>
      <c r="I32" s="1007">
        <f t="shared" ref="I32" si="11">SUM(I28:I31)</f>
        <v>641.48</v>
      </c>
      <c r="J32" s="537"/>
      <c r="K32" s="2025"/>
      <c r="L32" s="1927"/>
      <c r="M32" s="2026"/>
      <c r="N32" s="2007"/>
      <c r="O32" s="2007"/>
      <c r="P32" s="1187"/>
      <c r="Q32" s="368"/>
      <c r="R32" s="368"/>
    </row>
    <row r="33" spans="1:18" ht="20.149999999999999" hidden="1" customHeight="1">
      <c r="A33" s="1214"/>
      <c r="B33" s="483" t="s">
        <v>2556</v>
      </c>
      <c r="C33" s="1185"/>
      <c r="D33" s="520"/>
      <c r="E33" s="1215"/>
      <c r="F33" s="1216"/>
      <c r="G33" s="1216"/>
      <c r="H33" s="1216"/>
      <c r="I33" s="719">
        <v>29</v>
      </c>
      <c r="J33" s="464"/>
      <c r="K33" s="1493" t="s">
        <v>2557</v>
      </c>
      <c r="L33" s="483"/>
      <c r="M33" s="1123"/>
      <c r="N33" s="1123"/>
      <c r="O33" s="1123"/>
      <c r="P33" s="1189"/>
      <c r="Q33" s="368"/>
      <c r="R33" s="368"/>
    </row>
    <row r="34" spans="1:18" ht="39.65" customHeight="1">
      <c r="A34" s="496" t="s">
        <v>2029</v>
      </c>
      <c r="B34" s="496" t="s">
        <v>1421</v>
      </c>
      <c r="C34" s="1217"/>
      <c r="D34" s="1217"/>
      <c r="E34" s="1202">
        <f>SUM(E37,E40,E44,E46,E48,E58,E61,E83,E97,E102,)</f>
        <v>9154.57</v>
      </c>
      <c r="F34" s="1202">
        <f>SUM(F37,F40,F44,F46,F48,F58,F61,F83,F97,F102,)</f>
        <v>10504.572</v>
      </c>
      <c r="G34" s="1202">
        <f>SUM(G37,G40,G44,G46,G48,G58,G61,G83,G97,G102,)</f>
        <v>9951.6779999999999</v>
      </c>
      <c r="H34" s="1218">
        <f>G34/F34</f>
        <v>0.94736634676786446</v>
      </c>
      <c r="I34" s="691" t="e">
        <f>SUM(I37,I40,I44,I46,I48,I58,I61,I83,I97,I102,)</f>
        <v>#REF!</v>
      </c>
      <c r="J34" s="496" t="s">
        <v>2293</v>
      </c>
      <c r="K34" s="2002"/>
      <c r="L34" s="2003"/>
      <c r="M34" s="2003"/>
      <c r="N34" s="2003"/>
      <c r="O34" s="2003"/>
      <c r="P34" s="2004"/>
      <c r="Q34" s="368"/>
      <c r="R34" s="368"/>
    </row>
    <row r="35" spans="1:18" ht="36" customHeight="1">
      <c r="A35" s="1767" t="s">
        <v>2030</v>
      </c>
      <c r="B35" s="1824" t="s">
        <v>1422</v>
      </c>
      <c r="C35" s="1828">
        <v>188711925</v>
      </c>
      <c r="D35" s="733" t="s">
        <v>587</v>
      </c>
      <c r="E35" s="1204">
        <v>4708.1000000000004</v>
      </c>
      <c r="F35" s="1204">
        <v>4227.8</v>
      </c>
      <c r="G35" s="1204">
        <v>4224.25</v>
      </c>
      <c r="H35" s="1219">
        <f>G35/F35</f>
        <v>0.99916031978806941</v>
      </c>
      <c r="I35" s="734">
        <v>5164.8999999999996</v>
      </c>
      <c r="J35" s="1698" t="s">
        <v>2260</v>
      </c>
      <c r="K35" s="1699" t="s">
        <v>3658</v>
      </c>
      <c r="L35" s="1646" t="s">
        <v>680</v>
      </c>
      <c r="M35" s="1646" t="s">
        <v>803</v>
      </c>
      <c r="N35" s="1646" t="s">
        <v>3015</v>
      </c>
      <c r="O35" s="1646" t="s">
        <v>3016</v>
      </c>
      <c r="P35" s="1735" t="s">
        <v>3545</v>
      </c>
      <c r="Q35" s="368"/>
      <c r="R35" s="368"/>
    </row>
    <row r="36" spans="1:18" ht="20.149999999999999" hidden="1" customHeight="1">
      <c r="A36" s="1803"/>
      <c r="B36" s="1791"/>
      <c r="C36" s="1826"/>
      <c r="D36" s="724" t="s">
        <v>668</v>
      </c>
      <c r="E36" s="1220"/>
      <c r="F36" s="1220"/>
      <c r="G36" s="1220"/>
      <c r="H36" s="1220"/>
      <c r="I36" s="701"/>
      <c r="J36" s="1698"/>
      <c r="K36" s="1700"/>
      <c r="L36" s="1646"/>
      <c r="M36" s="1646"/>
      <c r="N36" s="1646"/>
      <c r="O36" s="1646"/>
      <c r="P36" s="1735"/>
      <c r="Q36" s="368"/>
      <c r="R36" s="368"/>
    </row>
    <row r="37" spans="1:18" ht="76.5" customHeight="1">
      <c r="A37" s="1803"/>
      <c r="B37" s="1791"/>
      <c r="C37" s="1826"/>
      <c r="D37" s="727" t="s">
        <v>1321</v>
      </c>
      <c r="E37" s="1207">
        <f>SUM(E35:E36)</f>
        <v>4708.1000000000004</v>
      </c>
      <c r="F37" s="1207">
        <f t="shared" ref="F37:G37" si="12">SUM(F35:F36)</f>
        <v>4227.8</v>
      </c>
      <c r="G37" s="1207">
        <f t="shared" si="12"/>
        <v>4224.25</v>
      </c>
      <c r="H37" s="1221">
        <f>G37/F37</f>
        <v>0.99916031978806941</v>
      </c>
      <c r="I37" s="706">
        <f t="shared" ref="I37" si="13">SUM(I35:I36)</f>
        <v>5164.8999999999996</v>
      </c>
      <c r="J37" s="1698"/>
      <c r="K37" s="1700"/>
      <c r="L37" s="1646"/>
      <c r="M37" s="1646"/>
      <c r="N37" s="1646"/>
      <c r="O37" s="1646"/>
      <c r="P37" s="1735"/>
      <c r="Q37" s="368"/>
      <c r="R37" s="368"/>
    </row>
    <row r="38" spans="1:18" ht="22.5" customHeight="1">
      <c r="A38" s="1803" t="s">
        <v>2031</v>
      </c>
      <c r="B38" s="1791" t="s">
        <v>1423</v>
      </c>
      <c r="C38" s="1826">
        <v>188711925</v>
      </c>
      <c r="D38" s="733" t="s">
        <v>587</v>
      </c>
      <c r="E38" s="1222">
        <v>541.5</v>
      </c>
      <c r="F38" s="1222">
        <v>1275.5</v>
      </c>
      <c r="G38" s="1222">
        <v>1262.3309999999999</v>
      </c>
      <c r="H38" s="1223">
        <f>G38/F38</f>
        <v>0.98967542140337117</v>
      </c>
      <c r="I38" s="701">
        <f>1281.8+64.1</f>
        <v>1345.8999999999999</v>
      </c>
      <c r="J38" s="1698"/>
      <c r="K38" s="1699" t="s">
        <v>3659</v>
      </c>
      <c r="L38" s="1637" t="s">
        <v>682</v>
      </c>
      <c r="M38" s="1637" t="s">
        <v>1592</v>
      </c>
      <c r="N38" s="1637" t="s">
        <v>3017</v>
      </c>
      <c r="O38" s="1637" t="s">
        <v>3578</v>
      </c>
      <c r="P38" s="1924" t="s">
        <v>3543</v>
      </c>
      <c r="Q38" s="368"/>
      <c r="R38" s="368"/>
    </row>
    <row r="39" spans="1:18" ht="20.149999999999999" customHeight="1">
      <c r="A39" s="1803"/>
      <c r="B39" s="1791"/>
      <c r="C39" s="1826"/>
      <c r="D39" s="724" t="s">
        <v>668</v>
      </c>
      <c r="E39" s="1222"/>
      <c r="F39" s="1222"/>
      <c r="G39" s="1222"/>
      <c r="H39" s="1223"/>
      <c r="I39" s="701"/>
      <c r="J39" s="1698"/>
      <c r="K39" s="1700"/>
      <c r="L39" s="1638"/>
      <c r="M39" s="1638"/>
      <c r="N39" s="1638"/>
      <c r="O39" s="1638"/>
      <c r="P39" s="1666"/>
      <c r="Q39" s="368"/>
      <c r="R39" s="368"/>
    </row>
    <row r="40" spans="1:18" ht="29.25" customHeight="1">
      <c r="A40" s="1803"/>
      <c r="B40" s="1791"/>
      <c r="C40" s="1826"/>
      <c r="D40" s="727" t="s">
        <v>1321</v>
      </c>
      <c r="E40" s="1207">
        <f>SUM(E38:E39)</f>
        <v>541.5</v>
      </c>
      <c r="F40" s="1207">
        <f t="shared" ref="F40:G40" si="14">SUM(F38:F39)</f>
        <v>1275.5</v>
      </c>
      <c r="G40" s="1207">
        <f t="shared" si="14"/>
        <v>1262.3309999999999</v>
      </c>
      <c r="H40" s="1221">
        <f>G40/F40</f>
        <v>0.98967542140337117</v>
      </c>
      <c r="I40" s="706">
        <f t="shared" ref="I40" si="15">SUM(I38:I39)</f>
        <v>1345.8999999999999</v>
      </c>
      <c r="J40" s="1698"/>
      <c r="K40" s="1700"/>
      <c r="L40" s="1639"/>
      <c r="M40" s="1638"/>
      <c r="N40" s="1639"/>
      <c r="O40" s="1639"/>
      <c r="P40" s="1671"/>
      <c r="Q40" s="368"/>
      <c r="R40" s="368"/>
    </row>
    <row r="41" spans="1:18" ht="54" customHeight="1">
      <c r="A41" s="1803" t="s">
        <v>2032</v>
      </c>
      <c r="B41" s="1791" t="s">
        <v>1772</v>
      </c>
      <c r="C41" s="1826">
        <v>188711925</v>
      </c>
      <c r="D41" s="724" t="s">
        <v>1587</v>
      </c>
      <c r="E41" s="1222">
        <v>147.38</v>
      </c>
      <c r="F41" s="1222">
        <v>129.16</v>
      </c>
      <c r="G41" s="1222">
        <v>126.47799999999999</v>
      </c>
      <c r="H41" s="1223">
        <f>G41/F41</f>
        <v>0.97923505729327964</v>
      </c>
      <c r="I41" s="701">
        <v>164.57499999999999</v>
      </c>
      <c r="J41" s="1698"/>
      <c r="K41" s="1699" t="s">
        <v>3660</v>
      </c>
      <c r="L41" s="1637" t="s">
        <v>356</v>
      </c>
      <c r="M41" s="638" t="s">
        <v>1771</v>
      </c>
      <c r="N41" s="638" t="s">
        <v>3018</v>
      </c>
      <c r="O41" s="638" t="s">
        <v>3023</v>
      </c>
      <c r="P41" s="657" t="s">
        <v>3548</v>
      </c>
      <c r="Q41" s="368"/>
      <c r="R41" s="368"/>
    </row>
    <row r="42" spans="1:18" ht="30.75" customHeight="1">
      <c r="A42" s="1803"/>
      <c r="B42" s="1791"/>
      <c r="C42" s="1826"/>
      <c r="D42" s="724" t="s">
        <v>668</v>
      </c>
      <c r="E42" s="1222">
        <v>2176.9299999999998</v>
      </c>
      <c r="F42" s="1222">
        <v>2175.7559999999999</v>
      </c>
      <c r="G42" s="1222">
        <v>1692.2570000000001</v>
      </c>
      <c r="H42" s="1223">
        <f>G42/F42</f>
        <v>0.77777885020195292</v>
      </c>
      <c r="I42" s="701">
        <v>2176.9299999999998</v>
      </c>
      <c r="J42" s="1698"/>
      <c r="K42" s="1700"/>
      <c r="L42" s="1638"/>
      <c r="M42" s="638" t="s">
        <v>3661</v>
      </c>
      <c r="N42" s="638" t="s">
        <v>3020</v>
      </c>
      <c r="O42" s="638" t="s">
        <v>3020</v>
      </c>
      <c r="P42" s="657" t="s">
        <v>3548</v>
      </c>
      <c r="Q42" s="368"/>
      <c r="R42" s="368"/>
    </row>
    <row r="43" spans="1:18" ht="27" customHeight="1">
      <c r="A43" s="1803"/>
      <c r="B43" s="1791"/>
      <c r="C43" s="1826"/>
      <c r="D43" s="724" t="s">
        <v>1349</v>
      </c>
      <c r="E43" s="1222"/>
      <c r="F43" s="1222">
        <v>683.33900000000006</v>
      </c>
      <c r="G43" s="1222">
        <v>682.16300000000001</v>
      </c>
      <c r="H43" s="1224">
        <f>G43/F43</f>
        <v>0.99827903866163059</v>
      </c>
      <c r="I43" s="701">
        <v>0</v>
      </c>
      <c r="J43" s="1698"/>
      <c r="K43" s="1700"/>
      <c r="L43" s="1638"/>
      <c r="M43" s="1637" t="s">
        <v>3019</v>
      </c>
      <c r="N43" s="1637" t="s">
        <v>3021</v>
      </c>
      <c r="O43" s="1637" t="s">
        <v>3022</v>
      </c>
      <c r="P43" s="1665" t="s">
        <v>3545</v>
      </c>
      <c r="Q43" s="368"/>
      <c r="R43" s="368"/>
    </row>
    <row r="44" spans="1:18" ht="30" customHeight="1">
      <c r="A44" s="1803"/>
      <c r="B44" s="1791"/>
      <c r="C44" s="1826"/>
      <c r="D44" s="727" t="s">
        <v>1321</v>
      </c>
      <c r="E44" s="1207">
        <f>SUM(E41:E42)</f>
        <v>2324.31</v>
      </c>
      <c r="F44" s="1207">
        <f>SUM(F41:F43)</f>
        <v>2988.2549999999997</v>
      </c>
      <c r="G44" s="1207">
        <f>SUM(G41:G43)</f>
        <v>2500.8980000000001</v>
      </c>
      <c r="H44" s="1221">
        <f>G44/F44</f>
        <v>0.83690916605175947</v>
      </c>
      <c r="I44" s="706">
        <f>SUM(I41:I43)</f>
        <v>2341.5049999999997</v>
      </c>
      <c r="J44" s="1698"/>
      <c r="K44" s="1700"/>
      <c r="L44" s="1638"/>
      <c r="M44" s="1639"/>
      <c r="N44" s="1639"/>
      <c r="O44" s="1639"/>
      <c r="P44" s="1671"/>
      <c r="Q44" s="368"/>
      <c r="R44" s="368"/>
    </row>
    <row r="45" spans="1:18" ht="38.5" customHeight="1">
      <c r="A45" s="1803" t="s">
        <v>2033</v>
      </c>
      <c r="B45" s="1791" t="s">
        <v>2781</v>
      </c>
      <c r="C45" s="1826">
        <v>188711925</v>
      </c>
      <c r="D45" s="724" t="s">
        <v>587</v>
      </c>
      <c r="E45" s="1220"/>
      <c r="F45" s="1220"/>
      <c r="G45" s="1220"/>
      <c r="H45" s="1220"/>
      <c r="I45" s="701"/>
      <c r="J45" s="1698"/>
      <c r="K45" s="1699" t="s">
        <v>3662</v>
      </c>
      <c r="L45" s="1637" t="s">
        <v>314</v>
      </c>
      <c r="M45" s="1637" t="s">
        <v>1593</v>
      </c>
      <c r="N45" s="1637" t="s">
        <v>469</v>
      </c>
      <c r="O45" s="1637" t="s">
        <v>613</v>
      </c>
      <c r="P45" s="1665" t="s">
        <v>3626</v>
      </c>
      <c r="Q45" s="368"/>
      <c r="R45" s="368"/>
    </row>
    <row r="46" spans="1:18" ht="40.5" customHeight="1">
      <c r="A46" s="1803"/>
      <c r="B46" s="1791"/>
      <c r="C46" s="1826"/>
      <c r="D46" s="727" t="s">
        <v>1321</v>
      </c>
      <c r="E46" s="1225"/>
      <c r="F46" s="1225"/>
      <c r="G46" s="1225"/>
      <c r="H46" s="1225"/>
      <c r="I46" s="706">
        <f t="shared" ref="I46" si="16">I45</f>
        <v>0</v>
      </c>
      <c r="J46" s="1698"/>
      <c r="K46" s="1700"/>
      <c r="L46" s="1638"/>
      <c r="M46" s="1638"/>
      <c r="N46" s="1639"/>
      <c r="O46" s="1639"/>
      <c r="P46" s="1671"/>
      <c r="Q46" s="368"/>
      <c r="R46" s="368"/>
    </row>
    <row r="47" spans="1:18" ht="26.25" customHeight="1">
      <c r="A47" s="1803" t="s">
        <v>2034</v>
      </c>
      <c r="B47" s="1791" t="s">
        <v>1424</v>
      </c>
      <c r="C47" s="1826" t="s">
        <v>1325</v>
      </c>
      <c r="D47" s="724" t="s">
        <v>668</v>
      </c>
      <c r="E47" s="1222">
        <v>150.85</v>
      </c>
      <c r="F47" s="1222">
        <v>150.97800000000001</v>
      </c>
      <c r="G47" s="1222">
        <v>139.57</v>
      </c>
      <c r="H47" s="1223">
        <f>G47/F47</f>
        <v>0.92443932228536596</v>
      </c>
      <c r="I47" s="701" t="e">
        <f>SUM(I49,I50,I51,I52,I53,I54,#REF!,I55,I56,)</f>
        <v>#REF!</v>
      </c>
      <c r="J47" s="1698"/>
      <c r="K47" s="1699" t="s">
        <v>3663</v>
      </c>
      <c r="L47" s="1637" t="s">
        <v>276</v>
      </c>
      <c r="M47" s="1637" t="s">
        <v>3362</v>
      </c>
      <c r="N47" s="1637" t="s">
        <v>1531</v>
      </c>
      <c r="O47" s="1637" t="s">
        <v>1531</v>
      </c>
      <c r="P47" s="1665" t="s">
        <v>3548</v>
      </c>
      <c r="Q47" s="368"/>
      <c r="R47" s="368"/>
    </row>
    <row r="48" spans="1:18" ht="71.25" customHeight="1">
      <c r="A48" s="1803"/>
      <c r="B48" s="1791"/>
      <c r="C48" s="1826"/>
      <c r="D48" s="727" t="s">
        <v>1321</v>
      </c>
      <c r="E48" s="1207">
        <f>E47</f>
        <v>150.85</v>
      </c>
      <c r="F48" s="1207">
        <f t="shared" ref="F48:H48" si="17">F47</f>
        <v>150.97800000000001</v>
      </c>
      <c r="G48" s="1207">
        <f t="shared" si="17"/>
        <v>139.57</v>
      </c>
      <c r="H48" s="1221">
        <f t="shared" si="17"/>
        <v>0.92443932228536596</v>
      </c>
      <c r="I48" s="706" t="e">
        <f>I47</f>
        <v>#REF!</v>
      </c>
      <c r="J48" s="1698"/>
      <c r="K48" s="1840"/>
      <c r="L48" s="1638"/>
      <c r="M48" s="1638"/>
      <c r="N48" s="1639"/>
      <c r="O48" s="1639"/>
      <c r="P48" s="1671"/>
      <c r="Q48" s="368"/>
      <c r="R48" s="368"/>
    </row>
    <row r="49" spans="1:18" ht="16.5" hidden="1" customHeight="1">
      <c r="A49" s="1094"/>
      <c r="B49" s="1226" t="s">
        <v>1341</v>
      </c>
      <c r="C49" s="976"/>
      <c r="D49" s="717"/>
      <c r="E49" s="541"/>
      <c r="F49" s="541"/>
      <c r="G49" s="541"/>
      <c r="H49" s="541"/>
      <c r="I49" s="537">
        <v>26</v>
      </c>
      <c r="J49" s="1211"/>
      <c r="K49" s="1507"/>
      <c r="L49" s="537"/>
      <c r="M49" s="537" t="s">
        <v>3461</v>
      </c>
      <c r="N49" s="616">
        <v>73</v>
      </c>
      <c r="O49" s="537"/>
      <c r="P49" s="1187"/>
      <c r="Q49" s="368"/>
      <c r="R49" s="368"/>
    </row>
    <row r="50" spans="1:18" ht="16.5" hidden="1" customHeight="1">
      <c r="A50" s="1094"/>
      <c r="B50" s="1226" t="s">
        <v>1342</v>
      </c>
      <c r="C50" s="976"/>
      <c r="D50" s="717"/>
      <c r="E50" s="541"/>
      <c r="F50" s="541"/>
      <c r="G50" s="541"/>
      <c r="H50" s="541"/>
      <c r="I50" s="537">
        <v>32.450000000000003</v>
      </c>
      <c r="J50" s="1211"/>
      <c r="K50" s="1507"/>
      <c r="L50" s="537"/>
      <c r="M50" s="537" t="s">
        <v>3461</v>
      </c>
      <c r="N50" s="616">
        <v>45</v>
      </c>
      <c r="O50" s="537"/>
      <c r="P50" s="1187"/>
      <c r="Q50" s="368"/>
      <c r="R50" s="368"/>
    </row>
    <row r="51" spans="1:18" ht="12.75" hidden="1" customHeight="1">
      <c r="A51" s="1094"/>
      <c r="B51" s="1226" t="s">
        <v>1343</v>
      </c>
      <c r="C51" s="976"/>
      <c r="D51" s="717"/>
      <c r="E51" s="541"/>
      <c r="F51" s="541"/>
      <c r="G51" s="541"/>
      <c r="H51" s="541"/>
      <c r="I51" s="537">
        <v>22.5</v>
      </c>
      <c r="J51" s="1211"/>
      <c r="K51" s="1507"/>
      <c r="L51" s="537"/>
      <c r="M51" s="537" t="s">
        <v>3461</v>
      </c>
      <c r="N51" s="616">
        <v>58</v>
      </c>
      <c r="O51" s="537"/>
      <c r="P51" s="1187"/>
      <c r="Q51" s="368"/>
      <c r="R51" s="368"/>
    </row>
    <row r="52" spans="1:18" ht="13.5" hidden="1" customHeight="1">
      <c r="A52" s="1094"/>
      <c r="B52" s="1227" t="s">
        <v>1329</v>
      </c>
      <c r="C52" s="976"/>
      <c r="D52" s="717"/>
      <c r="E52" s="541"/>
      <c r="F52" s="541"/>
      <c r="G52" s="541"/>
      <c r="H52" s="541"/>
      <c r="I52" s="537">
        <v>18.600000000000001</v>
      </c>
      <c r="J52" s="537"/>
      <c r="K52" s="1507"/>
      <c r="L52" s="537"/>
      <c r="M52" s="537" t="s">
        <v>3461</v>
      </c>
      <c r="N52" s="616">
        <v>61</v>
      </c>
      <c r="O52" s="537"/>
      <c r="P52" s="1187"/>
      <c r="Q52" s="368"/>
      <c r="R52" s="368"/>
    </row>
    <row r="53" spans="1:18" ht="16.5" hidden="1" customHeight="1">
      <c r="A53" s="1228"/>
      <c r="B53" s="804" t="s">
        <v>1344</v>
      </c>
      <c r="C53" s="805"/>
      <c r="D53" s="717"/>
      <c r="E53" s="541"/>
      <c r="F53" s="541"/>
      <c r="G53" s="541"/>
      <c r="H53" s="541"/>
      <c r="I53" s="537">
        <v>15.5</v>
      </c>
      <c r="J53" s="1211"/>
      <c r="K53" s="1507"/>
      <c r="L53" s="537"/>
      <c r="M53" s="537" t="s">
        <v>3461</v>
      </c>
      <c r="N53" s="616">
        <v>52</v>
      </c>
      <c r="O53" s="537"/>
      <c r="P53" s="1187"/>
      <c r="Q53" s="368"/>
      <c r="R53" s="368"/>
    </row>
    <row r="54" spans="1:18" ht="12.75" hidden="1" customHeight="1">
      <c r="A54" s="1094"/>
      <c r="B54" s="907" t="s">
        <v>3463</v>
      </c>
      <c r="C54" s="976"/>
      <c r="D54" s="717"/>
      <c r="E54" s="1229"/>
      <c r="F54" s="1229"/>
      <c r="G54" s="1229"/>
      <c r="H54" s="1229"/>
      <c r="I54" s="537">
        <v>0.63</v>
      </c>
      <c r="J54" s="1211"/>
      <c r="K54" s="1507"/>
      <c r="L54" s="537"/>
      <c r="M54" s="537" t="s">
        <v>3462</v>
      </c>
      <c r="N54" s="616">
        <v>9</v>
      </c>
      <c r="O54" s="537"/>
      <c r="P54" s="1187"/>
      <c r="Q54" s="368"/>
      <c r="R54" s="368"/>
    </row>
    <row r="55" spans="1:18" ht="15.75" hidden="1" customHeight="1">
      <c r="A55" s="1230"/>
      <c r="B55" s="1227" t="s">
        <v>2548</v>
      </c>
      <c r="C55" s="1231"/>
      <c r="D55" s="852"/>
      <c r="E55" s="1229"/>
      <c r="F55" s="1229"/>
      <c r="G55" s="1229"/>
      <c r="H55" s="1229"/>
      <c r="I55" s="537">
        <v>31.06</v>
      </c>
      <c r="J55" s="1211"/>
      <c r="K55" s="1507"/>
      <c r="L55" s="616"/>
      <c r="M55" s="616" t="s">
        <v>3460</v>
      </c>
      <c r="N55" s="616" t="s">
        <v>3352</v>
      </c>
      <c r="O55" s="616"/>
      <c r="P55" s="1187"/>
      <c r="Q55" s="368"/>
      <c r="R55" s="368"/>
    </row>
    <row r="56" spans="1:18" ht="23.25" hidden="1" customHeight="1">
      <c r="A56" s="617"/>
      <c r="B56" s="804" t="s">
        <v>3464</v>
      </c>
      <c r="C56" s="878"/>
      <c r="D56" s="911"/>
      <c r="E56" s="1229"/>
      <c r="F56" s="1229"/>
      <c r="G56" s="1229"/>
      <c r="H56" s="1229"/>
      <c r="I56" s="537">
        <v>8.94</v>
      </c>
      <c r="J56" s="1211"/>
      <c r="K56" s="1507"/>
      <c r="L56" s="966"/>
      <c r="M56" s="966" t="s">
        <v>3350</v>
      </c>
      <c r="N56" s="966" t="s">
        <v>3351</v>
      </c>
      <c r="O56" s="966"/>
      <c r="P56" s="1187"/>
      <c r="Q56" s="368"/>
      <c r="R56" s="368"/>
    </row>
    <row r="57" spans="1:18" ht="33.75" customHeight="1">
      <c r="A57" s="1767" t="s">
        <v>2035</v>
      </c>
      <c r="B57" s="1824" t="s">
        <v>3465</v>
      </c>
      <c r="C57" s="1828">
        <v>300079075</v>
      </c>
      <c r="D57" s="733" t="s">
        <v>1587</v>
      </c>
      <c r="E57" s="1204">
        <v>555.20000000000005</v>
      </c>
      <c r="F57" s="1204">
        <v>455.7</v>
      </c>
      <c r="G57" s="1204">
        <v>450.79599999999999</v>
      </c>
      <c r="H57" s="1219">
        <f>G57/F57</f>
        <v>0.98923853412332674</v>
      </c>
      <c r="I57" s="701">
        <f>497.4+72.4</f>
        <v>569.79999999999995</v>
      </c>
      <c r="J57" s="1698" t="s">
        <v>2294</v>
      </c>
      <c r="K57" s="1699" t="s">
        <v>1764</v>
      </c>
      <c r="L57" s="1637" t="s">
        <v>592</v>
      </c>
      <c r="M57" s="1871" t="s">
        <v>3339</v>
      </c>
      <c r="N57" s="1871" t="s">
        <v>3340</v>
      </c>
      <c r="O57" s="1871" t="s">
        <v>3340</v>
      </c>
      <c r="P57" s="1991" t="s">
        <v>3544</v>
      </c>
      <c r="Q57" s="368"/>
      <c r="R57" s="368"/>
    </row>
    <row r="58" spans="1:18" ht="43.95" customHeight="1">
      <c r="A58" s="1803"/>
      <c r="B58" s="1791"/>
      <c r="C58" s="1826"/>
      <c r="D58" s="727" t="s">
        <v>1321</v>
      </c>
      <c r="E58" s="1207">
        <f>E57</f>
        <v>555.20000000000005</v>
      </c>
      <c r="F58" s="1207">
        <f t="shared" ref="F58:G58" si="18">F57</f>
        <v>455.7</v>
      </c>
      <c r="G58" s="1207">
        <f t="shared" si="18"/>
        <v>450.79599999999999</v>
      </c>
      <c r="H58" s="1232">
        <f>G58/F58</f>
        <v>0.98923853412332674</v>
      </c>
      <c r="I58" s="706">
        <f t="shared" ref="I58" si="19">I57</f>
        <v>569.79999999999995</v>
      </c>
      <c r="J58" s="1698"/>
      <c r="K58" s="1700"/>
      <c r="L58" s="1638"/>
      <c r="M58" s="1870"/>
      <c r="N58" s="1868"/>
      <c r="O58" s="1868"/>
      <c r="P58" s="1993"/>
      <c r="Q58" s="368"/>
      <c r="R58" s="368"/>
    </row>
    <row r="59" spans="1:18" ht="26.25" customHeight="1">
      <c r="A59" s="1803" t="s">
        <v>2036</v>
      </c>
      <c r="B59" s="1791" t="s">
        <v>1425</v>
      </c>
      <c r="C59" s="1826" t="s">
        <v>1325</v>
      </c>
      <c r="D59" s="724" t="s">
        <v>1587</v>
      </c>
      <c r="E59" s="1222">
        <f>SUM(E62:E79)</f>
        <v>354.83</v>
      </c>
      <c r="F59" s="1222">
        <f>SUM(F62,F64,F66,F68,F70,F72,F73,F76,F78,F79,)</f>
        <v>322.27</v>
      </c>
      <c r="G59" s="1222">
        <f>SUM(G62,G64,G66,G68,G70,G72,G73,G76,G78,G79,)</f>
        <v>295.54599999999999</v>
      </c>
      <c r="H59" s="1223">
        <f>G59/F59</f>
        <v>0.91707574394141567</v>
      </c>
      <c r="I59" s="701">
        <f>I62+I64+I66+I68+I70+I72+I73+I76+I78+I79</f>
        <v>380.56</v>
      </c>
      <c r="J59" s="1882" t="s">
        <v>2260</v>
      </c>
      <c r="K59" s="1699" t="s">
        <v>1765</v>
      </c>
      <c r="L59" s="1637" t="s">
        <v>3341</v>
      </c>
      <c r="M59" s="1871" t="s">
        <v>1594</v>
      </c>
      <c r="N59" s="1871" t="s">
        <v>1748</v>
      </c>
      <c r="O59" s="1871" t="s">
        <v>3024</v>
      </c>
      <c r="P59" s="1991" t="s">
        <v>3544</v>
      </c>
      <c r="Q59" s="368"/>
      <c r="R59" s="368"/>
    </row>
    <row r="60" spans="1:18" ht="26.25" customHeight="1">
      <c r="A60" s="1803"/>
      <c r="B60" s="1791"/>
      <c r="C60" s="1826"/>
      <c r="D60" s="724" t="s">
        <v>1349</v>
      </c>
      <c r="E60" s="1222"/>
      <c r="F60" s="1222">
        <f>SUM(F63,F65,F67,F69,F71,F74,F75,F77,F80)</f>
        <v>29.128</v>
      </c>
      <c r="G60" s="1222">
        <f>SUM(G63,G65,G67,G69,G71,G74,G75,G77,G80)</f>
        <v>28.728000000000002</v>
      </c>
      <c r="H60" s="1223">
        <f>G60/F60</f>
        <v>0.98626750892611925</v>
      </c>
      <c r="I60" s="701">
        <f>I74</f>
        <v>0.55200000000000005</v>
      </c>
      <c r="J60" s="1882"/>
      <c r="K60" s="1699"/>
      <c r="L60" s="1638"/>
      <c r="M60" s="1870"/>
      <c r="N60" s="1870"/>
      <c r="O60" s="1870"/>
      <c r="P60" s="1992"/>
      <c r="Q60" s="368"/>
      <c r="R60" s="368"/>
    </row>
    <row r="61" spans="1:18" ht="84" customHeight="1">
      <c r="A61" s="1803"/>
      <c r="B61" s="1791"/>
      <c r="C61" s="1826"/>
      <c r="D61" s="727" t="s">
        <v>1321</v>
      </c>
      <c r="E61" s="1207">
        <f>E59</f>
        <v>354.83</v>
      </c>
      <c r="F61" s="1207">
        <f t="shared" ref="F61:G61" si="20">F59</f>
        <v>322.27</v>
      </c>
      <c r="G61" s="1207">
        <f t="shared" si="20"/>
        <v>295.54599999999999</v>
      </c>
      <c r="H61" s="1233">
        <f>G61/F61</f>
        <v>0.91707574394141567</v>
      </c>
      <c r="I61" s="706">
        <f>I59+I60</f>
        <v>381.11200000000002</v>
      </c>
      <c r="J61" s="1702"/>
      <c r="K61" s="1700"/>
      <c r="L61" s="1638"/>
      <c r="M61" s="1870"/>
      <c r="N61" s="1868"/>
      <c r="O61" s="1868"/>
      <c r="P61" s="1993"/>
      <c r="Q61" s="368"/>
      <c r="R61" s="368"/>
    </row>
    <row r="62" spans="1:18" s="372" customFormat="1" ht="20.149999999999999" hidden="1" customHeight="1">
      <c r="A62" s="1234"/>
      <c r="B62" s="2020" t="s">
        <v>1575</v>
      </c>
      <c r="C62" s="1235"/>
      <c r="D62" s="1236" t="s">
        <v>1587</v>
      </c>
      <c r="E62" s="1237">
        <v>20</v>
      </c>
      <c r="F62" s="1237">
        <v>20</v>
      </c>
      <c r="G62" s="1237">
        <v>17.431000000000001</v>
      </c>
      <c r="H62" s="1238"/>
      <c r="I62" s="1239">
        <v>25.86</v>
      </c>
      <c r="J62" s="1239"/>
      <c r="K62" s="1540"/>
      <c r="L62" s="1239"/>
      <c r="M62" s="1239"/>
      <c r="N62" s="1239"/>
      <c r="O62" s="1239"/>
      <c r="P62" s="1241"/>
    </row>
    <row r="63" spans="1:18" s="372" customFormat="1" ht="20.149999999999999" hidden="1" customHeight="1">
      <c r="A63" s="1234"/>
      <c r="B63" s="2021"/>
      <c r="C63" s="1235"/>
      <c r="D63" s="1242" t="s">
        <v>2854</v>
      </c>
      <c r="E63" s="1243"/>
      <c r="F63" s="1243">
        <v>3.5</v>
      </c>
      <c r="G63" s="1243">
        <v>3.399</v>
      </c>
      <c r="H63" s="1238"/>
      <c r="I63" s="1239"/>
      <c r="J63" s="1239"/>
      <c r="K63" s="1540"/>
      <c r="L63" s="1239"/>
      <c r="M63" s="1239"/>
      <c r="N63" s="1239"/>
      <c r="O63" s="1239"/>
      <c r="P63" s="1241"/>
    </row>
    <row r="64" spans="1:18" s="372" customFormat="1" ht="20.149999999999999" hidden="1" customHeight="1">
      <c r="A64" s="1234"/>
      <c r="B64" s="2022" t="s">
        <v>1576</v>
      </c>
      <c r="C64" s="1235"/>
      <c r="D64" s="1236" t="s">
        <v>1587</v>
      </c>
      <c r="E64" s="1237">
        <v>67</v>
      </c>
      <c r="F64" s="1237">
        <v>56</v>
      </c>
      <c r="G64" s="1237">
        <v>50.850999999999999</v>
      </c>
      <c r="H64" s="1238"/>
      <c r="I64" s="1239">
        <v>66</v>
      </c>
      <c r="J64" s="1239"/>
      <c r="K64" s="1540"/>
      <c r="L64" s="1239"/>
      <c r="M64" s="1239"/>
      <c r="N64" s="1239"/>
      <c r="O64" s="1239"/>
      <c r="P64" s="1241"/>
    </row>
    <row r="65" spans="1:16" s="372" customFormat="1" ht="20.149999999999999" hidden="1" customHeight="1">
      <c r="A65" s="1234"/>
      <c r="B65" s="2021"/>
      <c r="C65" s="1235"/>
      <c r="D65" s="1242" t="s">
        <v>2854</v>
      </c>
      <c r="E65" s="1243"/>
      <c r="F65" s="1243">
        <v>6.38</v>
      </c>
      <c r="G65" s="1243">
        <v>6.2510000000000003</v>
      </c>
      <c r="H65" s="1238"/>
      <c r="I65" s="1239"/>
      <c r="J65" s="1239"/>
      <c r="K65" s="1540"/>
      <c r="L65" s="1239"/>
      <c r="M65" s="1239"/>
      <c r="N65" s="1239"/>
      <c r="O65" s="1239"/>
      <c r="P65" s="1241"/>
    </row>
    <row r="66" spans="1:16" s="372" customFormat="1" ht="20.149999999999999" hidden="1" customHeight="1">
      <c r="A66" s="1234"/>
      <c r="B66" s="2022" t="s">
        <v>1577</v>
      </c>
      <c r="C66" s="1235"/>
      <c r="D66" s="1236" t="s">
        <v>1587</v>
      </c>
      <c r="E66" s="1237">
        <v>108.83</v>
      </c>
      <c r="F66" s="1237">
        <v>83.49</v>
      </c>
      <c r="G66" s="1237">
        <v>75.156000000000006</v>
      </c>
      <c r="H66" s="1238"/>
      <c r="I66" s="1239">
        <v>106</v>
      </c>
      <c r="J66" s="1239"/>
      <c r="K66" s="1540"/>
      <c r="L66" s="1239"/>
      <c r="M66" s="1239"/>
      <c r="N66" s="1239"/>
      <c r="O66" s="1239"/>
      <c r="P66" s="1241"/>
    </row>
    <row r="67" spans="1:16" s="372" customFormat="1" ht="20.149999999999999" hidden="1" customHeight="1">
      <c r="A67" s="1234"/>
      <c r="B67" s="2021"/>
      <c r="C67" s="1235"/>
      <c r="D67" s="1242" t="s">
        <v>2854</v>
      </c>
      <c r="E67" s="1243"/>
      <c r="F67" s="1243">
        <v>16.277000000000001</v>
      </c>
      <c r="G67" s="1243">
        <v>16.276</v>
      </c>
      <c r="H67" s="1238"/>
      <c r="I67" s="1239"/>
      <c r="J67" s="1239"/>
      <c r="K67" s="1540"/>
      <c r="L67" s="1239"/>
      <c r="M67" s="1239"/>
      <c r="N67" s="1239"/>
      <c r="O67" s="1239"/>
      <c r="P67" s="1241"/>
    </row>
    <row r="68" spans="1:16" s="372" customFormat="1" ht="20.149999999999999" hidden="1" customHeight="1">
      <c r="A68" s="1234"/>
      <c r="B68" s="2022" t="s">
        <v>1578</v>
      </c>
      <c r="C68" s="1235"/>
      <c r="D68" s="1236" t="s">
        <v>1587</v>
      </c>
      <c r="E68" s="1237">
        <v>65</v>
      </c>
      <c r="F68" s="1237">
        <v>68</v>
      </c>
      <c r="G68" s="1237">
        <v>64.704999999999998</v>
      </c>
      <c r="H68" s="1238"/>
      <c r="I68" s="1239">
        <v>75</v>
      </c>
      <c r="J68" s="1239"/>
      <c r="K68" s="1540"/>
      <c r="L68" s="1239"/>
      <c r="M68" s="1239"/>
      <c r="N68" s="1239"/>
      <c r="O68" s="1239"/>
      <c r="P68" s="1241"/>
    </row>
    <row r="69" spans="1:16" s="372" customFormat="1" ht="20.149999999999999" hidden="1" customHeight="1">
      <c r="A69" s="1234"/>
      <c r="B69" s="2021"/>
      <c r="C69" s="1235"/>
      <c r="D69" s="1242" t="s">
        <v>2854</v>
      </c>
      <c r="E69" s="1243"/>
      <c r="F69" s="1243">
        <v>0.14000000000000001</v>
      </c>
      <c r="G69" s="1243">
        <v>0.13</v>
      </c>
      <c r="H69" s="1238"/>
      <c r="I69" s="1239"/>
      <c r="J69" s="1239"/>
      <c r="K69" s="1540"/>
      <c r="L69" s="1239"/>
      <c r="M69" s="1239"/>
      <c r="N69" s="1239"/>
      <c r="O69" s="1239"/>
      <c r="P69" s="1241"/>
    </row>
    <row r="70" spans="1:16" s="372" customFormat="1" ht="20.149999999999999" hidden="1" customHeight="1">
      <c r="A70" s="1234"/>
      <c r="B70" s="2022" t="s">
        <v>1579</v>
      </c>
      <c r="C70" s="1235"/>
      <c r="D70" s="1236" t="s">
        <v>1587</v>
      </c>
      <c r="E70" s="1237">
        <v>42</v>
      </c>
      <c r="F70" s="1237">
        <v>43</v>
      </c>
      <c r="G70" s="1237">
        <v>41.66</v>
      </c>
      <c r="H70" s="1238"/>
      <c r="I70" s="1239">
        <v>49</v>
      </c>
      <c r="J70" s="1239"/>
      <c r="K70" s="1540"/>
      <c r="L70" s="1239"/>
      <c r="M70" s="1239"/>
      <c r="N70" s="1239"/>
      <c r="O70" s="1239"/>
      <c r="P70" s="1241"/>
    </row>
    <row r="71" spans="1:16" s="372" customFormat="1" ht="20.149999999999999" hidden="1" customHeight="1">
      <c r="A71" s="1234"/>
      <c r="B71" s="2021"/>
      <c r="C71" s="1235"/>
      <c r="D71" s="1242" t="s">
        <v>2854</v>
      </c>
      <c r="E71" s="1243"/>
      <c r="F71" s="1243">
        <v>0.68</v>
      </c>
      <c r="G71" s="1243">
        <v>0.65100000000000002</v>
      </c>
      <c r="H71" s="1238"/>
      <c r="I71" s="1239"/>
      <c r="J71" s="1239"/>
      <c r="K71" s="1540"/>
      <c r="L71" s="1239"/>
      <c r="M71" s="1239"/>
      <c r="N71" s="1239"/>
      <c r="O71" s="1239"/>
      <c r="P71" s="1241"/>
    </row>
    <row r="72" spans="1:16" s="372" customFormat="1" ht="20.149999999999999" hidden="1" customHeight="1">
      <c r="A72" s="1234"/>
      <c r="B72" s="1244" t="s">
        <v>1580</v>
      </c>
      <c r="C72" s="1235"/>
      <c r="D72" s="1236" t="s">
        <v>1587</v>
      </c>
      <c r="E72" s="1245">
        <v>13</v>
      </c>
      <c r="F72" s="1245">
        <v>14</v>
      </c>
      <c r="G72" s="1245">
        <v>12.837999999999999</v>
      </c>
      <c r="H72" s="1246"/>
      <c r="I72" s="1239">
        <v>16</v>
      </c>
      <c r="J72" s="1239"/>
      <c r="K72" s="1540"/>
      <c r="L72" s="1240"/>
      <c r="M72" s="1240"/>
      <c r="N72" s="1240"/>
      <c r="O72" s="1240"/>
      <c r="P72" s="1241"/>
    </row>
    <row r="73" spans="1:16" s="372" customFormat="1" ht="20.149999999999999" hidden="1" customHeight="1">
      <c r="A73" s="1234"/>
      <c r="B73" s="2022" t="s">
        <v>1581</v>
      </c>
      <c r="C73" s="1235"/>
      <c r="D73" s="1236" t="s">
        <v>1587</v>
      </c>
      <c r="E73" s="1237">
        <v>5</v>
      </c>
      <c r="F73" s="1237">
        <v>6.2</v>
      </c>
      <c r="G73" s="1237">
        <v>4.72</v>
      </c>
      <c r="H73" s="1238"/>
      <c r="I73" s="1239">
        <v>6.7</v>
      </c>
      <c r="J73" s="1239"/>
      <c r="K73" s="1540"/>
      <c r="L73" s="1239"/>
      <c r="M73" s="1239"/>
      <c r="N73" s="1239"/>
      <c r="O73" s="1239"/>
      <c r="P73" s="1241"/>
    </row>
    <row r="74" spans="1:16" s="372" customFormat="1" ht="20.149999999999999" hidden="1" customHeight="1">
      <c r="A74" s="1234"/>
      <c r="B74" s="2023"/>
      <c r="C74" s="1235"/>
      <c r="D74" s="1242" t="s">
        <v>1349</v>
      </c>
      <c r="E74" s="1243"/>
      <c r="F74" s="1243">
        <v>0.24</v>
      </c>
      <c r="G74" s="1243">
        <v>0.24</v>
      </c>
      <c r="H74" s="1238"/>
      <c r="I74" s="1239">
        <v>0.55200000000000005</v>
      </c>
      <c r="J74" s="1239"/>
      <c r="K74" s="1540"/>
      <c r="L74" s="1239"/>
      <c r="M74" s="1239"/>
      <c r="N74" s="1239"/>
      <c r="O74" s="1239"/>
      <c r="P74" s="1241"/>
    </row>
    <row r="75" spans="1:16" s="372" customFormat="1" ht="20.149999999999999" hidden="1" customHeight="1">
      <c r="A75" s="1234"/>
      <c r="B75" s="2021"/>
      <c r="C75" s="1235"/>
      <c r="D75" s="1242" t="s">
        <v>2854</v>
      </c>
      <c r="E75" s="1243"/>
      <c r="F75" s="1243">
        <v>0.62</v>
      </c>
      <c r="G75" s="1243">
        <v>0.52100000000000002</v>
      </c>
      <c r="H75" s="1238"/>
      <c r="I75" s="1239"/>
      <c r="J75" s="1239"/>
      <c r="K75" s="1540"/>
      <c r="L75" s="1239"/>
      <c r="M75" s="1239"/>
      <c r="N75" s="1239"/>
      <c r="O75" s="1239"/>
      <c r="P75" s="1241"/>
    </row>
    <row r="76" spans="1:16" s="372" customFormat="1" ht="20.149999999999999" hidden="1" customHeight="1">
      <c r="A76" s="1234"/>
      <c r="B76" s="2022" t="s">
        <v>1582</v>
      </c>
      <c r="C76" s="1235"/>
      <c r="D76" s="1236" t="s">
        <v>1587</v>
      </c>
      <c r="E76" s="1237">
        <v>11</v>
      </c>
      <c r="F76" s="1237">
        <v>9.3000000000000007</v>
      </c>
      <c r="G76" s="1237">
        <v>8.6359999999999992</v>
      </c>
      <c r="H76" s="1238"/>
      <c r="I76" s="1239">
        <v>12</v>
      </c>
      <c r="J76" s="1239"/>
      <c r="K76" s="1540"/>
      <c r="L76" s="1239"/>
      <c r="M76" s="1239"/>
      <c r="N76" s="1239"/>
      <c r="O76" s="1239"/>
      <c r="P76" s="1241"/>
    </row>
    <row r="77" spans="1:16" s="372" customFormat="1" ht="20.149999999999999" hidden="1" customHeight="1">
      <c r="A77" s="1234"/>
      <c r="B77" s="2021"/>
      <c r="C77" s="1235"/>
      <c r="D77" s="1242" t="s">
        <v>2854</v>
      </c>
      <c r="E77" s="1243"/>
      <c r="F77" s="1243">
        <v>0.47499999999999998</v>
      </c>
      <c r="G77" s="1243">
        <v>0.47399999999999998</v>
      </c>
      <c r="H77" s="1238"/>
      <c r="I77" s="1239"/>
      <c r="J77" s="1239"/>
      <c r="K77" s="1540"/>
      <c r="L77" s="1239"/>
      <c r="M77" s="1239"/>
      <c r="N77" s="1239"/>
      <c r="O77" s="1239"/>
      <c r="P77" s="1241"/>
    </row>
    <row r="78" spans="1:16" s="372" customFormat="1" ht="22.5" hidden="1" customHeight="1">
      <c r="A78" s="1234"/>
      <c r="B78" s="1244" t="s">
        <v>1583</v>
      </c>
      <c r="C78" s="1235"/>
      <c r="D78" s="1236" t="s">
        <v>1587</v>
      </c>
      <c r="E78" s="1237">
        <v>11</v>
      </c>
      <c r="F78" s="1237">
        <v>11</v>
      </c>
      <c r="G78" s="1237">
        <v>10.026999999999999</v>
      </c>
      <c r="H78" s="1238"/>
      <c r="I78" s="1239">
        <v>12</v>
      </c>
      <c r="J78" s="1239"/>
      <c r="K78" s="1540"/>
      <c r="L78" s="1239"/>
      <c r="M78" s="1239"/>
      <c r="N78" s="1239"/>
      <c r="O78" s="1239"/>
      <c r="P78" s="1241"/>
    </row>
    <row r="79" spans="1:16" s="372" customFormat="1" ht="21.75" hidden="1" customHeight="1">
      <c r="A79" s="1234"/>
      <c r="B79" s="2008" t="s">
        <v>1584</v>
      </c>
      <c r="C79" s="1235"/>
      <c r="D79" s="1236" t="s">
        <v>1587</v>
      </c>
      <c r="E79" s="1237">
        <v>12</v>
      </c>
      <c r="F79" s="1237">
        <v>11.28</v>
      </c>
      <c r="G79" s="1237">
        <v>9.5220000000000002</v>
      </c>
      <c r="H79" s="1238"/>
      <c r="I79" s="1239">
        <v>12</v>
      </c>
      <c r="J79" s="1239"/>
      <c r="K79" s="1540"/>
      <c r="L79" s="1239"/>
      <c r="M79" s="1239"/>
      <c r="N79" s="1239"/>
      <c r="O79" s="1239"/>
      <c r="P79" s="1241"/>
    </row>
    <row r="80" spans="1:16" s="372" customFormat="1" ht="22.5" hidden="1" customHeight="1">
      <c r="A80" s="1234"/>
      <c r="B80" s="2009"/>
      <c r="C80" s="1234"/>
      <c r="D80" s="1242" t="s">
        <v>2854</v>
      </c>
      <c r="E80" s="1247"/>
      <c r="F80" s="1243">
        <v>0.81599999999999995</v>
      </c>
      <c r="G80" s="1243">
        <v>0.78600000000000003</v>
      </c>
      <c r="H80" s="1238"/>
      <c r="I80" s="1239"/>
      <c r="J80" s="1248"/>
      <c r="K80" s="1540"/>
      <c r="L80" s="1248"/>
      <c r="M80" s="1248"/>
      <c r="N80" s="1248"/>
      <c r="O80" s="1248"/>
      <c r="P80" s="1241"/>
    </row>
    <row r="81" spans="1:18" ht="27" customHeight="1">
      <c r="A81" s="2017" t="s">
        <v>2037</v>
      </c>
      <c r="B81" s="1824" t="s">
        <v>1426</v>
      </c>
      <c r="C81" s="1828" t="s">
        <v>1325</v>
      </c>
      <c r="D81" s="733" t="s">
        <v>1587</v>
      </c>
      <c r="E81" s="1204">
        <f>SUM(E84:E94)</f>
        <v>54.879999999999995</v>
      </c>
      <c r="F81" s="1222">
        <f>SUM(F84,F85,F86,F87,F88,F89,F90,F91,F92,F93,F94,)</f>
        <v>45.039000000000001</v>
      </c>
      <c r="G81" s="1222">
        <f>SUM(G84,G85,G86,G87,G88,G89,G90,G91,G92,G93,G94,)</f>
        <v>44.786000000000001</v>
      </c>
      <c r="H81" s="1223">
        <f>G81/F81</f>
        <v>0.99438264615111349</v>
      </c>
      <c r="I81" s="701">
        <f t="shared" ref="I81" si="21">SUM(I84:I94)</f>
        <v>60.5</v>
      </c>
      <c r="J81" s="1701" t="s">
        <v>2260</v>
      </c>
      <c r="K81" s="1699" t="s">
        <v>1766</v>
      </c>
      <c r="L81" s="1871" t="s">
        <v>3342</v>
      </c>
      <c r="M81" s="1871" t="s">
        <v>1595</v>
      </c>
      <c r="N81" s="1871" t="s">
        <v>2485</v>
      </c>
      <c r="O81" s="1871" t="s">
        <v>3025</v>
      </c>
      <c r="P81" s="1991" t="s">
        <v>3544</v>
      </c>
      <c r="Q81" s="368"/>
      <c r="R81" s="368"/>
    </row>
    <row r="82" spans="1:18" ht="37.5" customHeight="1">
      <c r="A82" s="2018"/>
      <c r="B82" s="2011"/>
      <c r="C82" s="2019"/>
      <c r="D82" s="724" t="s">
        <v>1349</v>
      </c>
      <c r="E82" s="1222"/>
      <c r="F82" s="1222">
        <f>F95</f>
        <v>6.86</v>
      </c>
      <c r="G82" s="1222">
        <f>G95</f>
        <v>6.86</v>
      </c>
      <c r="H82" s="1223"/>
      <c r="I82" s="701"/>
      <c r="J82" s="1882"/>
      <c r="K82" s="1700"/>
      <c r="L82" s="1870"/>
      <c r="M82" s="1870"/>
      <c r="N82" s="1870"/>
      <c r="O82" s="1870"/>
      <c r="P82" s="1992"/>
      <c r="Q82" s="368"/>
      <c r="R82" s="368"/>
    </row>
    <row r="83" spans="1:18" ht="43.5" customHeight="1">
      <c r="A83" s="2018"/>
      <c r="B83" s="2011"/>
      <c r="C83" s="2019"/>
      <c r="D83" s="727" t="s">
        <v>1321</v>
      </c>
      <c r="E83" s="1207">
        <f>E81</f>
        <v>54.879999999999995</v>
      </c>
      <c r="F83" s="1207">
        <f>SUM(F81,F82)</f>
        <v>51.899000000000001</v>
      </c>
      <c r="G83" s="1207">
        <f>SUM(G81,G82)</f>
        <v>51.646000000000001</v>
      </c>
      <c r="H83" s="1221">
        <f>G83/F83</f>
        <v>0.99512514691997922</v>
      </c>
      <c r="I83" s="706">
        <f t="shared" ref="I83" si="22">I81</f>
        <v>60.5</v>
      </c>
      <c r="J83" s="1702"/>
      <c r="K83" s="1700"/>
      <c r="L83" s="1868"/>
      <c r="M83" s="1870"/>
      <c r="N83" s="1868"/>
      <c r="O83" s="1868"/>
      <c r="P83" s="1993"/>
      <c r="Q83" s="368"/>
      <c r="R83" s="368"/>
    </row>
    <row r="84" spans="1:18" s="372" customFormat="1" ht="20.149999999999999" hidden="1" customHeight="1">
      <c r="A84" s="1234"/>
      <c r="B84" s="1244" t="s">
        <v>1575</v>
      </c>
      <c r="C84" s="1235"/>
      <c r="D84" s="1249" t="s">
        <v>1587</v>
      </c>
      <c r="E84" s="1237">
        <v>0.39200000000000002</v>
      </c>
      <c r="F84" s="1237">
        <v>9.8000000000000004E-2</v>
      </c>
      <c r="G84" s="1237">
        <v>9.8000000000000004E-2</v>
      </c>
      <c r="H84" s="1238"/>
      <c r="I84" s="1250">
        <v>0.22</v>
      </c>
      <c r="J84" s="1239"/>
      <c r="K84" s="1540"/>
      <c r="L84" s="1239"/>
      <c r="M84" s="1239"/>
      <c r="N84" s="1239"/>
      <c r="O84" s="1239"/>
      <c r="P84" s="1241"/>
    </row>
    <row r="85" spans="1:18" s="372" customFormat="1" ht="20.149999999999999" hidden="1" customHeight="1">
      <c r="A85" s="1234"/>
      <c r="B85" s="1244" t="s">
        <v>1576</v>
      </c>
      <c r="C85" s="1235"/>
      <c r="D85" s="1249" t="s">
        <v>1587</v>
      </c>
      <c r="E85" s="1237">
        <v>0.88200000000000001</v>
      </c>
      <c r="F85" s="1237">
        <v>0.19600000000000001</v>
      </c>
      <c r="G85" s="1237">
        <v>0.19600000000000001</v>
      </c>
      <c r="H85" s="1238"/>
      <c r="I85" s="1250">
        <v>0.33</v>
      </c>
      <c r="J85" s="1239"/>
      <c r="K85" s="1540"/>
      <c r="L85" s="1239"/>
      <c r="M85" s="1239"/>
      <c r="N85" s="1239"/>
      <c r="O85" s="1239"/>
      <c r="P85" s="1241"/>
    </row>
    <row r="86" spans="1:18" s="372" customFormat="1" ht="20.149999999999999" hidden="1" customHeight="1">
      <c r="A86" s="1234"/>
      <c r="B86" s="1244" t="s">
        <v>1577</v>
      </c>
      <c r="C86" s="1235"/>
      <c r="D86" s="1249" t="s">
        <v>1587</v>
      </c>
      <c r="E86" s="1237">
        <v>1.47</v>
      </c>
      <c r="F86" s="1237">
        <v>0.29399999999999998</v>
      </c>
      <c r="G86" s="1237">
        <v>0.29399999999999998</v>
      </c>
      <c r="H86" s="1238"/>
      <c r="I86" s="1250">
        <v>0.55000000000000004</v>
      </c>
      <c r="J86" s="1239"/>
      <c r="K86" s="1540"/>
      <c r="L86" s="1239"/>
      <c r="M86" s="1239"/>
      <c r="N86" s="1239"/>
      <c r="O86" s="1239"/>
      <c r="P86" s="1241"/>
    </row>
    <row r="87" spans="1:18" s="372" customFormat="1" ht="20.149999999999999" hidden="1" customHeight="1">
      <c r="A87" s="1234"/>
      <c r="B87" s="1244" t="s">
        <v>1578</v>
      </c>
      <c r="C87" s="1235"/>
      <c r="D87" s="1249" t="s">
        <v>1587</v>
      </c>
      <c r="E87" s="1237">
        <v>0.68600000000000005</v>
      </c>
      <c r="F87" s="1237">
        <v>0.29399999999999998</v>
      </c>
      <c r="G87" s="1237">
        <v>0.29399999999999998</v>
      </c>
      <c r="H87" s="1238"/>
      <c r="I87" s="1250">
        <v>0.55000000000000004</v>
      </c>
      <c r="J87" s="1239"/>
      <c r="K87" s="1540"/>
      <c r="L87" s="1239"/>
      <c r="M87" s="1239"/>
      <c r="N87" s="1239"/>
      <c r="O87" s="1239"/>
      <c r="P87" s="1241"/>
    </row>
    <row r="88" spans="1:18" s="372" customFormat="1" ht="20.149999999999999" hidden="1" customHeight="1">
      <c r="A88" s="1234"/>
      <c r="B88" s="1244" t="s">
        <v>1579</v>
      </c>
      <c r="C88" s="1235"/>
      <c r="D88" s="1249" t="s">
        <v>1587</v>
      </c>
      <c r="E88" s="1237">
        <v>0.49</v>
      </c>
      <c r="F88" s="1237">
        <v>0.29399999999999998</v>
      </c>
      <c r="G88" s="1237">
        <v>0.29399999999999998</v>
      </c>
      <c r="H88" s="1238"/>
      <c r="I88" s="1250">
        <v>0.33</v>
      </c>
      <c r="J88" s="1239"/>
      <c r="K88" s="1540"/>
      <c r="L88" s="1239"/>
      <c r="M88" s="1239"/>
      <c r="N88" s="1239"/>
      <c r="O88" s="1239"/>
      <c r="P88" s="1241"/>
    </row>
    <row r="89" spans="1:18" s="372" customFormat="1" ht="20.149999999999999" hidden="1" customHeight="1">
      <c r="A89" s="1234"/>
      <c r="B89" s="1244" t="s">
        <v>1580</v>
      </c>
      <c r="C89" s="1235"/>
      <c r="D89" s="1249" t="s">
        <v>1587</v>
      </c>
      <c r="E89" s="1245">
        <v>0.19600000000000001</v>
      </c>
      <c r="F89" s="1245">
        <v>0</v>
      </c>
      <c r="G89" s="1245">
        <v>0</v>
      </c>
      <c r="H89" s="1246"/>
      <c r="I89" s="1250">
        <v>0.22</v>
      </c>
      <c r="J89" s="1240"/>
      <c r="K89" s="1540"/>
      <c r="L89" s="1240"/>
      <c r="M89" s="1240"/>
      <c r="N89" s="1240"/>
      <c r="O89" s="1240"/>
      <c r="P89" s="1241"/>
    </row>
    <row r="90" spans="1:18" s="372" customFormat="1" ht="20.149999999999999" hidden="1" customHeight="1">
      <c r="A90" s="1234"/>
      <c r="B90" s="1244" t="s">
        <v>1581</v>
      </c>
      <c r="C90" s="1235"/>
      <c r="D90" s="1249" t="s">
        <v>1587</v>
      </c>
      <c r="E90" s="1237">
        <v>0.19600000000000001</v>
      </c>
      <c r="F90" s="1237">
        <v>0.19600000000000001</v>
      </c>
      <c r="G90" s="1237">
        <v>0.19600000000000001</v>
      </c>
      <c r="H90" s="1238"/>
      <c r="I90" s="1250">
        <v>0.22</v>
      </c>
      <c r="J90" s="1239"/>
      <c r="K90" s="1540"/>
      <c r="L90" s="1239"/>
      <c r="M90" s="1239"/>
      <c r="N90" s="1239"/>
      <c r="O90" s="1239"/>
      <c r="P90" s="1241"/>
    </row>
    <row r="91" spans="1:18" s="372" customFormat="1" ht="20.149999999999999" hidden="1" customHeight="1">
      <c r="A91" s="1234"/>
      <c r="B91" s="1244" t="s">
        <v>1582</v>
      </c>
      <c r="C91" s="1235"/>
      <c r="D91" s="1249" t="s">
        <v>1587</v>
      </c>
      <c r="E91" s="1237">
        <v>0.19600000000000001</v>
      </c>
      <c r="F91" s="1245">
        <v>0</v>
      </c>
      <c r="G91" s="1245">
        <v>0</v>
      </c>
      <c r="H91" s="1238"/>
      <c r="I91" s="1250">
        <v>0.22</v>
      </c>
      <c r="J91" s="1239"/>
      <c r="K91" s="1540"/>
      <c r="L91" s="1239"/>
      <c r="M91" s="1239"/>
      <c r="N91" s="1239"/>
      <c r="O91" s="1239"/>
      <c r="P91" s="1241"/>
    </row>
    <row r="92" spans="1:18" s="372" customFormat="1" ht="20.149999999999999" hidden="1" customHeight="1">
      <c r="A92" s="1234"/>
      <c r="B92" s="1244" t="s">
        <v>1583</v>
      </c>
      <c r="C92" s="1235"/>
      <c r="D92" s="1249" t="s">
        <v>1587</v>
      </c>
      <c r="E92" s="1237">
        <v>0.19600000000000001</v>
      </c>
      <c r="F92" s="1237">
        <v>5.7000000000000002E-2</v>
      </c>
      <c r="G92" s="1237">
        <v>0</v>
      </c>
      <c r="H92" s="1238"/>
      <c r="I92" s="1250">
        <v>0.22</v>
      </c>
      <c r="J92" s="1239"/>
      <c r="K92" s="1540"/>
      <c r="L92" s="1239"/>
      <c r="M92" s="1239"/>
      <c r="N92" s="1239"/>
      <c r="O92" s="1239"/>
      <c r="P92" s="1241"/>
    </row>
    <row r="93" spans="1:18" s="372" customFormat="1" ht="23.25" hidden="1" customHeight="1">
      <c r="A93" s="1234"/>
      <c r="B93" s="1251" t="s">
        <v>1584</v>
      </c>
      <c r="C93" s="1235"/>
      <c r="D93" s="1249" t="s">
        <v>1587</v>
      </c>
      <c r="E93" s="1237">
        <v>0.19600000000000001</v>
      </c>
      <c r="F93" s="1245">
        <v>0</v>
      </c>
      <c r="G93" s="1245">
        <v>0</v>
      </c>
      <c r="H93" s="1238"/>
      <c r="I93" s="1250">
        <v>0.22</v>
      </c>
      <c r="J93" s="1239"/>
      <c r="K93" s="1540"/>
      <c r="L93" s="1239"/>
      <c r="M93" s="1239"/>
      <c r="N93" s="1239"/>
      <c r="O93" s="1239"/>
      <c r="P93" s="1241"/>
    </row>
    <row r="94" spans="1:18" s="372" customFormat="1" ht="20.149999999999999" hidden="1" customHeight="1">
      <c r="A94" s="1234"/>
      <c r="B94" s="2008" t="s">
        <v>1550</v>
      </c>
      <c r="C94" s="1234"/>
      <c r="D94" s="1234" t="s">
        <v>1587</v>
      </c>
      <c r="E94" s="1237">
        <v>49.98</v>
      </c>
      <c r="F94" s="1237">
        <v>43.61</v>
      </c>
      <c r="G94" s="1237">
        <v>43.414000000000001</v>
      </c>
      <c r="H94" s="1238"/>
      <c r="I94" s="1250">
        <v>57.42</v>
      </c>
      <c r="J94" s="1252"/>
      <c r="K94" s="1540"/>
      <c r="L94" s="1248"/>
      <c r="M94" s="1248"/>
      <c r="N94" s="1248"/>
      <c r="O94" s="1248"/>
      <c r="P94" s="1241"/>
    </row>
    <row r="95" spans="1:18" s="372" customFormat="1" ht="20.149999999999999" hidden="1" customHeight="1">
      <c r="A95" s="1234"/>
      <c r="B95" s="2009"/>
      <c r="C95" s="1234"/>
      <c r="D95" s="1253" t="s">
        <v>2854</v>
      </c>
      <c r="E95" s="1254"/>
      <c r="F95" s="1459">
        <v>6.86</v>
      </c>
      <c r="G95" s="1459">
        <v>6.86</v>
      </c>
      <c r="H95" s="1238"/>
      <c r="I95" s="1255"/>
      <c r="J95" s="1252"/>
      <c r="K95" s="1540"/>
      <c r="L95" s="1248"/>
      <c r="M95" s="1248"/>
      <c r="N95" s="1248"/>
      <c r="O95" s="1248"/>
      <c r="P95" s="1241"/>
    </row>
    <row r="96" spans="1:18" ht="26.25" customHeight="1">
      <c r="A96" s="1767" t="s">
        <v>2038</v>
      </c>
      <c r="B96" s="1824" t="s">
        <v>1427</v>
      </c>
      <c r="C96" s="1828" t="s">
        <v>1325</v>
      </c>
      <c r="D96" s="733" t="s">
        <v>1587</v>
      </c>
      <c r="E96" s="1204">
        <f>SUM(E98:E100)</f>
        <v>436.90000000000003</v>
      </c>
      <c r="F96" s="1204">
        <f t="shared" ref="F96:G96" si="23">SUM(F98:F100)</f>
        <v>997.67</v>
      </c>
      <c r="G96" s="1204">
        <f t="shared" si="23"/>
        <v>992.15100000000007</v>
      </c>
      <c r="H96" s="1256">
        <f>G96/F96</f>
        <v>0.99446811069792629</v>
      </c>
      <c r="I96" s="734">
        <f t="shared" ref="I96" si="24">SUM(I98:I100)</f>
        <v>947.56999999999994</v>
      </c>
      <c r="J96" s="1698" t="s">
        <v>2294</v>
      </c>
      <c r="K96" s="1699" t="s">
        <v>3664</v>
      </c>
      <c r="L96" s="1637" t="s">
        <v>3343</v>
      </c>
      <c r="M96" s="1637" t="s">
        <v>1596</v>
      </c>
      <c r="N96" s="1637" t="s">
        <v>3028</v>
      </c>
      <c r="O96" s="1637" t="s">
        <v>3476</v>
      </c>
      <c r="P96" s="1665" t="s">
        <v>3544</v>
      </c>
      <c r="Q96" s="368"/>
      <c r="R96" s="368"/>
    </row>
    <row r="97" spans="1:18" ht="27.75" customHeight="1">
      <c r="A97" s="1803"/>
      <c r="B97" s="1791"/>
      <c r="C97" s="1826"/>
      <c r="D97" s="727" t="s">
        <v>1321</v>
      </c>
      <c r="E97" s="1207">
        <f>E96</f>
        <v>436.90000000000003</v>
      </c>
      <c r="F97" s="1207">
        <f t="shared" ref="F97:G97" si="25">F96</f>
        <v>997.67</v>
      </c>
      <c r="G97" s="1207">
        <f t="shared" si="25"/>
        <v>992.15100000000007</v>
      </c>
      <c r="H97" s="1257">
        <f>G97/F97</f>
        <v>0.99446811069792629</v>
      </c>
      <c r="I97" s="706">
        <f t="shared" ref="I97" si="26">I96</f>
        <v>947.56999999999994</v>
      </c>
      <c r="J97" s="1698"/>
      <c r="K97" s="1700"/>
      <c r="L97" s="1638"/>
      <c r="M97" s="1638"/>
      <c r="N97" s="1639"/>
      <c r="O97" s="1639"/>
      <c r="P97" s="1671"/>
      <c r="Q97" s="627"/>
      <c r="R97" s="368"/>
    </row>
    <row r="98" spans="1:18" ht="20.149999999999999" hidden="1" customHeight="1">
      <c r="A98" s="1192"/>
      <c r="B98" s="1226" t="s">
        <v>485</v>
      </c>
      <c r="C98" s="976"/>
      <c r="D98" s="806"/>
      <c r="E98" s="537">
        <v>357</v>
      </c>
      <c r="F98" s="537">
        <v>797.35</v>
      </c>
      <c r="G98" s="537">
        <v>798.87800000000004</v>
      </c>
      <c r="H98" s="537"/>
      <c r="I98" s="537">
        <v>763</v>
      </c>
      <c r="J98" s="1258"/>
      <c r="K98" s="1507"/>
      <c r="L98" s="616"/>
      <c r="M98" s="616"/>
      <c r="N98" s="1126"/>
      <c r="O98" s="616" t="s">
        <v>3579</v>
      </c>
      <c r="P98" s="1187"/>
      <c r="Q98" s="368"/>
      <c r="R98" s="368"/>
    </row>
    <row r="99" spans="1:18" ht="20.149999999999999" hidden="1" customHeight="1">
      <c r="A99" s="1192"/>
      <c r="B99" s="1226" t="s">
        <v>1585</v>
      </c>
      <c r="C99" s="976"/>
      <c r="D99" s="806"/>
      <c r="E99" s="537">
        <v>40.6</v>
      </c>
      <c r="F99" s="537">
        <v>83.44</v>
      </c>
      <c r="G99" s="537">
        <v>82.635999999999996</v>
      </c>
      <c r="H99" s="537"/>
      <c r="I99" s="537">
        <v>78.92</v>
      </c>
      <c r="J99" s="1258"/>
      <c r="K99" s="1507"/>
      <c r="L99" s="616"/>
      <c r="M99" s="616"/>
      <c r="N99" s="1126"/>
      <c r="O99" s="616" t="s">
        <v>11</v>
      </c>
      <c r="P99" s="1187"/>
      <c r="Q99" s="368"/>
      <c r="R99" s="368"/>
    </row>
    <row r="100" spans="1:18" ht="39" hidden="1" customHeight="1">
      <c r="A100" s="1192"/>
      <c r="B100" s="1226" t="s">
        <v>1586</v>
      </c>
      <c r="C100" s="976"/>
      <c r="D100" s="806"/>
      <c r="E100" s="537">
        <v>39.299999999999997</v>
      </c>
      <c r="F100" s="537">
        <v>116.88</v>
      </c>
      <c r="G100" s="537">
        <v>110.637</v>
      </c>
      <c r="H100" s="537"/>
      <c r="I100" s="537">
        <v>105.65</v>
      </c>
      <c r="J100" s="1258"/>
      <c r="K100" s="1517" t="s">
        <v>3026</v>
      </c>
      <c r="L100" s="616"/>
      <c r="M100" s="616" t="s">
        <v>3027</v>
      </c>
      <c r="N100" s="1126"/>
      <c r="O100" s="616" t="s">
        <v>208</v>
      </c>
      <c r="P100" s="1187"/>
      <c r="Q100" s="368"/>
      <c r="R100" s="368"/>
    </row>
    <row r="101" spans="1:18" ht="22.5" customHeight="1">
      <c r="A101" s="1803" t="s">
        <v>2039</v>
      </c>
      <c r="B101" s="1791" t="s">
        <v>1428</v>
      </c>
      <c r="C101" s="1826">
        <v>188711925</v>
      </c>
      <c r="D101" s="724" t="s">
        <v>668</v>
      </c>
      <c r="E101" s="1222">
        <v>28</v>
      </c>
      <c r="F101" s="1222">
        <v>34.5</v>
      </c>
      <c r="G101" s="1222">
        <v>34.49</v>
      </c>
      <c r="H101" s="1223">
        <f t="shared" ref="H101:H113" si="27">G101/F101</f>
        <v>0.99971014492753629</v>
      </c>
      <c r="I101" s="701">
        <v>38</v>
      </c>
      <c r="J101" s="1698" t="s">
        <v>2294</v>
      </c>
      <c r="K101" s="1699" t="s">
        <v>3665</v>
      </c>
      <c r="L101" s="1646" t="s">
        <v>3344</v>
      </c>
      <c r="M101" s="1646" t="s">
        <v>1597</v>
      </c>
      <c r="N101" s="1646" t="s">
        <v>1536</v>
      </c>
      <c r="O101" s="1646" t="s">
        <v>1531</v>
      </c>
      <c r="P101" s="1735" t="s">
        <v>3545</v>
      </c>
      <c r="Q101" s="368"/>
      <c r="R101" s="368"/>
    </row>
    <row r="102" spans="1:18" ht="49.5" customHeight="1">
      <c r="A102" s="1803"/>
      <c r="B102" s="1791"/>
      <c r="C102" s="1826"/>
      <c r="D102" s="727" t="s">
        <v>1321</v>
      </c>
      <c r="E102" s="1207">
        <f>SUM(E101:E101)</f>
        <v>28</v>
      </c>
      <c r="F102" s="1207">
        <f t="shared" ref="F102:G102" si="28">SUM(F101:F101)</f>
        <v>34.5</v>
      </c>
      <c r="G102" s="1207">
        <f t="shared" si="28"/>
        <v>34.49</v>
      </c>
      <c r="H102" s="1221">
        <f t="shared" si="27"/>
        <v>0.99971014492753629</v>
      </c>
      <c r="I102" s="706">
        <f t="shared" ref="I102" si="29">SUM(I101:I101)</f>
        <v>38</v>
      </c>
      <c r="J102" s="1698"/>
      <c r="K102" s="1700"/>
      <c r="L102" s="1646"/>
      <c r="M102" s="1646"/>
      <c r="N102" s="1646"/>
      <c r="O102" s="1646"/>
      <c r="P102" s="1735"/>
      <c r="Q102" s="368"/>
      <c r="R102" s="368"/>
    </row>
    <row r="103" spans="1:18" ht="43.5" customHeight="1">
      <c r="A103" s="496" t="s">
        <v>2040</v>
      </c>
      <c r="B103" s="496" t="s">
        <v>2780</v>
      </c>
      <c r="C103" s="1217"/>
      <c r="D103" s="1217"/>
      <c r="E103" s="1202">
        <f>SUM(E106,E108,E110,E113,E116,E122,E124,E126,E128,E131,E134,E138,E140,E145,E147,E149,E153,E157,)</f>
        <v>713.99700000000007</v>
      </c>
      <c r="F103" s="1202">
        <f t="shared" ref="F103:G103" si="30">SUM(F106,F108,F110,F113,F116,F122,F124,F126,F128,F131,F134,F138,F140,F145,F147,F149,F153,F157,)</f>
        <v>1096.4360000000001</v>
      </c>
      <c r="G103" s="1202">
        <f t="shared" si="30"/>
        <v>944.51499999999999</v>
      </c>
      <c r="H103" s="1203">
        <f t="shared" si="27"/>
        <v>0.8614410690637665</v>
      </c>
      <c r="I103" s="691">
        <f>SUM(I106,I108,I110,I113,I116,I122,I124,I126,I128,I131,I134,I138,I140,I145,I147,I149,I153,I157,)</f>
        <v>956.89</v>
      </c>
      <c r="J103" s="496" t="s">
        <v>1187</v>
      </c>
      <c r="K103" s="1875"/>
      <c r="L103" s="1876"/>
      <c r="M103" s="1876"/>
      <c r="N103" s="1876"/>
      <c r="O103" s="1876"/>
      <c r="P103" s="1877"/>
      <c r="Q103" s="368"/>
      <c r="R103" s="368"/>
    </row>
    <row r="104" spans="1:18" ht="26.25" customHeight="1">
      <c r="A104" s="1767" t="s">
        <v>2041</v>
      </c>
      <c r="B104" s="1824" t="s">
        <v>1429</v>
      </c>
      <c r="C104" s="1828">
        <v>188711925</v>
      </c>
      <c r="D104" s="733" t="s">
        <v>668</v>
      </c>
      <c r="E104" s="1204">
        <v>42</v>
      </c>
      <c r="F104" s="1204">
        <v>35.5</v>
      </c>
      <c r="G104" s="1204">
        <v>35.5</v>
      </c>
      <c r="H104" s="1219">
        <f t="shared" si="27"/>
        <v>1</v>
      </c>
      <c r="I104" s="734">
        <v>30</v>
      </c>
      <c r="J104" s="1701" t="s">
        <v>2295</v>
      </c>
      <c r="K104" s="1642" t="s">
        <v>3466</v>
      </c>
      <c r="L104" s="1638" t="s">
        <v>820</v>
      </c>
      <c r="M104" s="1638" t="s">
        <v>804</v>
      </c>
      <c r="N104" s="1638" t="s">
        <v>2387</v>
      </c>
      <c r="O104" s="1638" t="s">
        <v>3029</v>
      </c>
      <c r="P104" s="1666" t="s">
        <v>3544</v>
      </c>
      <c r="Q104" s="368"/>
      <c r="R104" s="368"/>
    </row>
    <row r="105" spans="1:18" ht="25.2" customHeight="1">
      <c r="A105" s="1803"/>
      <c r="B105" s="1791"/>
      <c r="C105" s="1826"/>
      <c r="D105" s="724" t="s">
        <v>1349</v>
      </c>
      <c r="E105" s="1222">
        <v>29.369</v>
      </c>
      <c r="F105" s="1204">
        <v>56.53</v>
      </c>
      <c r="G105" s="1204">
        <v>56.53</v>
      </c>
      <c r="H105" s="1219">
        <f t="shared" si="27"/>
        <v>1</v>
      </c>
      <c r="I105" s="701">
        <v>46.914999999999999</v>
      </c>
      <c r="J105" s="1882"/>
      <c r="K105" s="1709"/>
      <c r="L105" s="1638"/>
      <c r="M105" s="1638"/>
      <c r="N105" s="1638"/>
      <c r="O105" s="1638"/>
      <c r="P105" s="1666"/>
      <c r="Q105" s="368"/>
      <c r="R105" s="368"/>
    </row>
    <row r="106" spans="1:18" ht="36" customHeight="1">
      <c r="A106" s="1803"/>
      <c r="B106" s="1791"/>
      <c r="C106" s="1826"/>
      <c r="D106" s="727" t="s">
        <v>1321</v>
      </c>
      <c r="E106" s="1207">
        <f>SUM(E104:E105)</f>
        <v>71.369</v>
      </c>
      <c r="F106" s="1207">
        <f t="shared" ref="F106:G106" si="31">SUM(F104:F105)</f>
        <v>92.03</v>
      </c>
      <c r="G106" s="1207">
        <f t="shared" si="31"/>
        <v>92.03</v>
      </c>
      <c r="H106" s="1232">
        <f t="shared" si="27"/>
        <v>1</v>
      </c>
      <c r="I106" s="706">
        <f t="shared" ref="I106" si="32">SUM(I104:I105)</f>
        <v>76.914999999999992</v>
      </c>
      <c r="J106" s="1702"/>
      <c r="K106" s="1708"/>
      <c r="L106" s="1638"/>
      <c r="M106" s="1638"/>
      <c r="N106" s="1639"/>
      <c r="O106" s="1639"/>
      <c r="P106" s="1671"/>
      <c r="Q106" s="368"/>
      <c r="R106" s="368"/>
    </row>
    <row r="107" spans="1:18" ht="29.25" customHeight="1">
      <c r="A107" s="1803" t="s">
        <v>2042</v>
      </c>
      <c r="B107" s="1791" t="s">
        <v>1430</v>
      </c>
      <c r="C107" s="1826">
        <v>188711925</v>
      </c>
      <c r="D107" s="724" t="s">
        <v>668</v>
      </c>
      <c r="E107" s="1222">
        <v>60</v>
      </c>
      <c r="F107" s="1222">
        <v>70.778000000000006</v>
      </c>
      <c r="G107" s="1222">
        <v>70.778000000000006</v>
      </c>
      <c r="H107" s="1224">
        <f t="shared" si="27"/>
        <v>1</v>
      </c>
      <c r="I107" s="701">
        <v>51.64</v>
      </c>
      <c r="J107" s="1701" t="s">
        <v>2262</v>
      </c>
      <c r="K107" s="1640" t="s">
        <v>3666</v>
      </c>
      <c r="L107" s="1637" t="s">
        <v>215</v>
      </c>
      <c r="M107" s="1637" t="s">
        <v>1600</v>
      </c>
      <c r="N107" s="1637" t="s">
        <v>469</v>
      </c>
      <c r="O107" s="1637" t="s">
        <v>613</v>
      </c>
      <c r="P107" s="1665" t="s">
        <v>3545</v>
      </c>
      <c r="Q107" s="368"/>
      <c r="R107" s="368"/>
    </row>
    <row r="108" spans="1:18" ht="80.25" customHeight="1">
      <c r="A108" s="1803"/>
      <c r="B108" s="1791"/>
      <c r="C108" s="1826"/>
      <c r="D108" s="727" t="s">
        <v>1321</v>
      </c>
      <c r="E108" s="1207">
        <f>E107</f>
        <v>60</v>
      </c>
      <c r="F108" s="1207">
        <f t="shared" ref="F108:G108" si="33">F107</f>
        <v>70.778000000000006</v>
      </c>
      <c r="G108" s="1207">
        <f t="shared" si="33"/>
        <v>70.778000000000006</v>
      </c>
      <c r="H108" s="1233">
        <f t="shared" si="27"/>
        <v>1</v>
      </c>
      <c r="I108" s="706">
        <f t="shared" ref="I108" si="34">I107</f>
        <v>51.64</v>
      </c>
      <c r="J108" s="1702"/>
      <c r="K108" s="1708"/>
      <c r="L108" s="1638"/>
      <c r="M108" s="1638"/>
      <c r="N108" s="1639"/>
      <c r="O108" s="1639"/>
      <c r="P108" s="1671"/>
      <c r="Q108" s="368"/>
      <c r="R108" s="368"/>
    </row>
    <row r="109" spans="1:18" ht="43.5" customHeight="1">
      <c r="A109" s="1803" t="s">
        <v>2043</v>
      </c>
      <c r="B109" s="1791" t="s">
        <v>1431</v>
      </c>
      <c r="C109" s="1826">
        <v>188711925</v>
      </c>
      <c r="D109" s="724" t="s">
        <v>668</v>
      </c>
      <c r="E109" s="1222">
        <v>3</v>
      </c>
      <c r="F109" s="1222">
        <v>3.3</v>
      </c>
      <c r="G109" s="1222">
        <v>3.2850000000000001</v>
      </c>
      <c r="H109" s="1223">
        <f t="shared" si="27"/>
        <v>0.99545454545454559</v>
      </c>
      <c r="I109" s="701">
        <v>3</v>
      </c>
      <c r="J109" s="1698" t="s">
        <v>2263</v>
      </c>
      <c r="K109" s="1640" t="s">
        <v>3580</v>
      </c>
      <c r="L109" s="1637" t="s">
        <v>217</v>
      </c>
      <c r="M109" s="1637" t="s">
        <v>1601</v>
      </c>
      <c r="N109" s="1637" t="s">
        <v>1602</v>
      </c>
      <c r="O109" s="1637" t="s">
        <v>3473</v>
      </c>
      <c r="P109" s="1665" t="s">
        <v>3545</v>
      </c>
      <c r="Q109" s="368"/>
      <c r="R109" s="368"/>
    </row>
    <row r="110" spans="1:18" ht="45" customHeight="1">
      <c r="A110" s="1843"/>
      <c r="B110" s="1791"/>
      <c r="C110" s="2019"/>
      <c r="D110" s="727" t="s">
        <v>1321</v>
      </c>
      <c r="E110" s="1207">
        <f>E109</f>
        <v>3</v>
      </c>
      <c r="F110" s="1207">
        <f t="shared" ref="F110:G110" si="35">F109</f>
        <v>3.3</v>
      </c>
      <c r="G110" s="1207">
        <f t="shared" si="35"/>
        <v>3.2850000000000001</v>
      </c>
      <c r="H110" s="1221">
        <f t="shared" si="27"/>
        <v>0.99545454545454559</v>
      </c>
      <c r="I110" s="706">
        <f t="shared" ref="I110" si="36">I109</f>
        <v>3</v>
      </c>
      <c r="J110" s="1698"/>
      <c r="K110" s="1708"/>
      <c r="L110" s="1638"/>
      <c r="M110" s="1638"/>
      <c r="N110" s="1639"/>
      <c r="O110" s="1639"/>
      <c r="P110" s="1671"/>
      <c r="Q110" s="368"/>
      <c r="R110" s="368"/>
    </row>
    <row r="111" spans="1:18" ht="44.5" customHeight="1">
      <c r="A111" s="1803" t="s">
        <v>2044</v>
      </c>
      <c r="B111" s="1889" t="s">
        <v>1432</v>
      </c>
      <c r="C111" s="1826">
        <v>188711925</v>
      </c>
      <c r="D111" s="724" t="s">
        <v>668</v>
      </c>
      <c r="E111" s="1222">
        <v>28</v>
      </c>
      <c r="F111" s="1222">
        <v>34.848999999999997</v>
      </c>
      <c r="G111" s="1222">
        <v>34.411999999999999</v>
      </c>
      <c r="H111" s="1259">
        <f t="shared" si="27"/>
        <v>0.98746018537117286</v>
      </c>
      <c r="I111" s="701">
        <f>34.6+3</f>
        <v>37.6</v>
      </c>
      <c r="J111" s="1698"/>
      <c r="K111" s="1640" t="s">
        <v>2746</v>
      </c>
      <c r="L111" s="1637" t="s">
        <v>805</v>
      </c>
      <c r="M111" s="1637" t="s">
        <v>1603</v>
      </c>
      <c r="N111" s="1637" t="s">
        <v>3030</v>
      </c>
      <c r="O111" s="1637" t="s">
        <v>3031</v>
      </c>
      <c r="P111" s="1665" t="s">
        <v>3544</v>
      </c>
      <c r="Q111" s="368"/>
      <c r="R111" s="368"/>
    </row>
    <row r="112" spans="1:18" ht="34.950000000000003" customHeight="1">
      <c r="A112" s="1803"/>
      <c r="B112" s="1890"/>
      <c r="C112" s="1839"/>
      <c r="D112" s="1136" t="s">
        <v>1349</v>
      </c>
      <c r="E112" s="1260">
        <v>0.44900000000000001</v>
      </c>
      <c r="F112" s="1260">
        <v>13.678000000000001</v>
      </c>
      <c r="G112" s="1260">
        <v>13.678000000000001</v>
      </c>
      <c r="H112" s="1261">
        <f t="shared" si="27"/>
        <v>1</v>
      </c>
      <c r="I112" s="798">
        <f>I114</f>
        <v>2.2839999999999998</v>
      </c>
      <c r="J112" s="1698"/>
      <c r="K112" s="1642"/>
      <c r="L112" s="1638"/>
      <c r="M112" s="1638"/>
      <c r="N112" s="1638"/>
      <c r="O112" s="1638"/>
      <c r="P112" s="1666"/>
      <c r="Q112" s="368"/>
      <c r="R112" s="368"/>
    </row>
    <row r="113" spans="1:18" ht="147" customHeight="1">
      <c r="A113" s="1843"/>
      <c r="B113" s="1890"/>
      <c r="C113" s="2042"/>
      <c r="D113" s="730" t="s">
        <v>1321</v>
      </c>
      <c r="E113" s="1262">
        <f>SUM(E111:E112)</f>
        <v>28.449000000000002</v>
      </c>
      <c r="F113" s="1262">
        <f t="shared" ref="F113:G113" si="37">SUM(F111:F112)</f>
        <v>48.527000000000001</v>
      </c>
      <c r="G113" s="1262">
        <f t="shared" si="37"/>
        <v>48.09</v>
      </c>
      <c r="H113" s="1257">
        <f t="shared" si="27"/>
        <v>0.99099470397922806</v>
      </c>
      <c r="I113" s="731">
        <f t="shared" ref="I113" si="38">SUM(I111:I112)</f>
        <v>39.884</v>
      </c>
      <c r="J113" s="1698"/>
      <c r="K113" s="1642"/>
      <c r="L113" s="1638"/>
      <c r="M113" s="1638"/>
      <c r="N113" s="1638"/>
      <c r="O113" s="1638"/>
      <c r="P113" s="1671"/>
      <c r="Q113" s="368"/>
      <c r="R113" s="368"/>
    </row>
    <row r="114" spans="1:18" s="372" customFormat="1" ht="59.25" hidden="1" customHeight="1">
      <c r="A114" s="1263"/>
      <c r="B114" s="628" t="s">
        <v>1433</v>
      </c>
      <c r="C114" s="1264"/>
      <c r="D114" s="1136" t="s">
        <v>1349</v>
      </c>
      <c r="E114" s="1265"/>
      <c r="F114" s="1265"/>
      <c r="G114" s="1265"/>
      <c r="H114" s="1265"/>
      <c r="I114" s="1266">
        <f>0.641+1.643</f>
        <v>2.2839999999999998</v>
      </c>
      <c r="J114" s="1698"/>
      <c r="K114" s="1641"/>
      <c r="L114" s="1639"/>
      <c r="M114" s="1639"/>
      <c r="N114" s="527"/>
      <c r="O114" s="527"/>
      <c r="P114" s="657"/>
    </row>
    <row r="115" spans="1:18" ht="27" customHeight="1">
      <c r="A115" s="1803" t="s">
        <v>2045</v>
      </c>
      <c r="B115" s="1791" t="s">
        <v>1434</v>
      </c>
      <c r="C115" s="1826" t="s">
        <v>1325</v>
      </c>
      <c r="D115" s="724" t="s">
        <v>668</v>
      </c>
      <c r="E115" s="1222">
        <v>3.5</v>
      </c>
      <c r="F115" s="1222">
        <f>F117+F118+F119</f>
        <v>6.1539999999999999</v>
      </c>
      <c r="G115" s="1222">
        <f>G117+G118+G119</f>
        <v>5.6050000000000004</v>
      </c>
      <c r="H115" s="1224">
        <f>G115/F115</f>
        <v>0.9107897302567437</v>
      </c>
      <c r="I115" s="701">
        <v>3.5</v>
      </c>
      <c r="J115" s="1701" t="s">
        <v>2266</v>
      </c>
      <c r="K115" s="1640" t="s">
        <v>3667</v>
      </c>
      <c r="L115" s="1637" t="s">
        <v>207</v>
      </c>
      <c r="M115" s="1637" t="s">
        <v>2558</v>
      </c>
      <c r="N115" s="1637" t="s">
        <v>1531</v>
      </c>
      <c r="O115" s="1637" t="s">
        <v>1598</v>
      </c>
      <c r="P115" s="1665" t="s">
        <v>3544</v>
      </c>
      <c r="Q115" s="368"/>
      <c r="R115" s="368"/>
    </row>
    <row r="116" spans="1:18" ht="34.5" customHeight="1">
      <c r="A116" s="1803"/>
      <c r="B116" s="1791"/>
      <c r="C116" s="1826"/>
      <c r="D116" s="727" t="s">
        <v>1321</v>
      </c>
      <c r="E116" s="1207">
        <f>E115</f>
        <v>3.5</v>
      </c>
      <c r="F116" s="1207">
        <f t="shared" ref="F116:G116" si="39">F115</f>
        <v>6.1539999999999999</v>
      </c>
      <c r="G116" s="1207">
        <f t="shared" si="39"/>
        <v>5.6050000000000004</v>
      </c>
      <c r="H116" s="1233">
        <f>G116/F116</f>
        <v>0.9107897302567437</v>
      </c>
      <c r="I116" s="706">
        <f t="shared" ref="I116" si="40">I115</f>
        <v>3.5</v>
      </c>
      <c r="J116" s="1882"/>
      <c r="K116" s="1708"/>
      <c r="L116" s="1638"/>
      <c r="M116" s="1638"/>
      <c r="N116" s="1639"/>
      <c r="O116" s="1639"/>
      <c r="P116" s="1671"/>
      <c r="Q116" s="368"/>
      <c r="R116" s="368"/>
    </row>
    <row r="117" spans="1:18" ht="20.149999999999999" hidden="1" customHeight="1">
      <c r="A117" s="1094"/>
      <c r="B117" s="919" t="s">
        <v>485</v>
      </c>
      <c r="C117" s="976"/>
      <c r="D117" s="806"/>
      <c r="E117" s="537">
        <v>2</v>
      </c>
      <c r="F117" s="537">
        <v>2</v>
      </c>
      <c r="G117" s="537">
        <v>2</v>
      </c>
      <c r="H117" s="537"/>
      <c r="I117" s="464"/>
      <c r="J117" s="1882"/>
      <c r="K117" s="1541"/>
      <c r="L117" s="616"/>
      <c r="M117" s="616" t="s">
        <v>3337</v>
      </c>
      <c r="N117" s="616"/>
      <c r="O117" s="616" t="s">
        <v>3338</v>
      </c>
      <c r="P117" s="1187"/>
      <c r="Q117" s="368"/>
      <c r="R117" s="368"/>
    </row>
    <row r="118" spans="1:18" ht="20.149999999999999" hidden="1" customHeight="1">
      <c r="A118" s="1094"/>
      <c r="B118" s="919" t="s">
        <v>2556</v>
      </c>
      <c r="C118" s="976"/>
      <c r="D118" s="806"/>
      <c r="E118" s="537"/>
      <c r="F118" s="537">
        <v>1.5</v>
      </c>
      <c r="G118" s="537">
        <v>0.95099999999999996</v>
      </c>
      <c r="H118" s="537"/>
      <c r="I118" s="464"/>
      <c r="J118" s="1882"/>
      <c r="K118" s="1541"/>
      <c r="L118" s="966"/>
      <c r="M118" s="1109"/>
      <c r="N118" s="1109"/>
      <c r="O118" s="1109"/>
      <c r="P118" s="1187"/>
      <c r="Q118" s="368"/>
      <c r="R118" s="368"/>
    </row>
    <row r="119" spans="1:18" ht="20.149999999999999" hidden="1" customHeight="1">
      <c r="A119" s="1094"/>
      <c r="B119" s="1267" t="s">
        <v>2871</v>
      </c>
      <c r="C119" s="976"/>
      <c r="D119" s="806"/>
      <c r="E119" s="537"/>
      <c r="F119" s="537">
        <v>2.6539999999999999</v>
      </c>
      <c r="G119" s="537">
        <v>2.6539999999999999</v>
      </c>
      <c r="H119" s="537"/>
      <c r="I119" s="464"/>
      <c r="J119" s="1882"/>
      <c r="K119" s="1541"/>
      <c r="L119" s="966"/>
      <c r="M119" s="1109"/>
      <c r="N119" s="1109"/>
      <c r="O119" s="1109"/>
      <c r="P119" s="1187"/>
      <c r="Q119" s="368"/>
      <c r="R119" s="368"/>
    </row>
    <row r="120" spans="1:18" ht="32.25" customHeight="1">
      <c r="A120" s="1803" t="s">
        <v>2046</v>
      </c>
      <c r="B120" s="1791" t="s">
        <v>1435</v>
      </c>
      <c r="C120" s="1826">
        <v>300079075</v>
      </c>
      <c r="D120" s="724" t="s">
        <v>668</v>
      </c>
      <c r="E120" s="701">
        <v>0.7</v>
      </c>
      <c r="F120" s="701">
        <v>0.7</v>
      </c>
      <c r="G120" s="701">
        <v>0.7</v>
      </c>
      <c r="H120" s="1224">
        <f t="shared" ref="H120:H127" si="41">G120/F120</f>
        <v>1</v>
      </c>
      <c r="I120" s="701">
        <v>0.7</v>
      </c>
      <c r="J120" s="1882"/>
      <c r="K120" s="1640" t="s">
        <v>3581</v>
      </c>
      <c r="L120" s="1637" t="s">
        <v>333</v>
      </c>
      <c r="M120" s="1637" t="s">
        <v>1605</v>
      </c>
      <c r="N120" s="1637" t="s">
        <v>205</v>
      </c>
      <c r="O120" s="1637" t="s">
        <v>1563</v>
      </c>
      <c r="P120" s="1991" t="s">
        <v>3545</v>
      </c>
      <c r="Q120" s="368"/>
      <c r="R120" s="368"/>
    </row>
    <row r="121" spans="1:18" ht="27.75" customHeight="1">
      <c r="A121" s="1803"/>
      <c r="B121" s="1791"/>
      <c r="C121" s="1826"/>
      <c r="D121" s="724" t="s">
        <v>1324</v>
      </c>
      <c r="E121" s="643">
        <v>1.9</v>
      </c>
      <c r="F121" s="643">
        <v>2.7</v>
      </c>
      <c r="G121" s="643">
        <v>2.5579999999999998</v>
      </c>
      <c r="H121" s="1224">
        <f t="shared" si="41"/>
        <v>0.94740740740740725</v>
      </c>
      <c r="I121" s="643">
        <v>2.77</v>
      </c>
      <c r="J121" s="1882"/>
      <c r="K121" s="1709"/>
      <c r="L121" s="1638"/>
      <c r="M121" s="1638"/>
      <c r="N121" s="1638"/>
      <c r="O121" s="1638"/>
      <c r="P121" s="1992"/>
      <c r="Q121" s="368"/>
      <c r="R121" s="368"/>
    </row>
    <row r="122" spans="1:18" ht="29.25" customHeight="1">
      <c r="A122" s="1803"/>
      <c r="B122" s="1791"/>
      <c r="C122" s="1826"/>
      <c r="D122" s="727" t="s">
        <v>1321</v>
      </c>
      <c r="E122" s="706">
        <f>SUM(E120:E121)</f>
        <v>2.5999999999999996</v>
      </c>
      <c r="F122" s="706">
        <f t="shared" ref="F122:G122" si="42">SUM(F120:F121)</f>
        <v>3.4000000000000004</v>
      </c>
      <c r="G122" s="706">
        <f t="shared" si="42"/>
        <v>3.258</v>
      </c>
      <c r="H122" s="1233">
        <f t="shared" si="41"/>
        <v>0.95823529411764696</v>
      </c>
      <c r="I122" s="706">
        <f t="shared" ref="I122" si="43">SUM(I120:I121)</f>
        <v>3.4699999999999998</v>
      </c>
      <c r="J122" s="1702"/>
      <c r="K122" s="1708"/>
      <c r="L122" s="1638"/>
      <c r="M122" s="1638"/>
      <c r="N122" s="1639"/>
      <c r="O122" s="1639"/>
      <c r="P122" s="1993"/>
      <c r="Q122" s="368"/>
      <c r="R122" s="368"/>
    </row>
    <row r="123" spans="1:18" ht="26.25" customHeight="1">
      <c r="A123" s="1803" t="s">
        <v>2047</v>
      </c>
      <c r="B123" s="1791" t="s">
        <v>1436</v>
      </c>
      <c r="C123" s="1826">
        <v>188711925</v>
      </c>
      <c r="D123" s="724" t="s">
        <v>668</v>
      </c>
      <c r="E123" s="1222">
        <v>106</v>
      </c>
      <c r="F123" s="1222">
        <v>72.146000000000001</v>
      </c>
      <c r="G123" s="1222">
        <v>72.141999999999996</v>
      </c>
      <c r="H123" s="1259">
        <f t="shared" si="41"/>
        <v>0.99994455687078976</v>
      </c>
      <c r="I123" s="701">
        <v>106</v>
      </c>
      <c r="J123" s="1701" t="s">
        <v>2261</v>
      </c>
      <c r="K123" s="1640" t="s">
        <v>3668</v>
      </c>
      <c r="L123" s="1637" t="s">
        <v>222</v>
      </c>
      <c r="M123" s="1637" t="s">
        <v>1607</v>
      </c>
      <c r="N123" s="1637" t="s">
        <v>612</v>
      </c>
      <c r="O123" s="1637" t="s">
        <v>612</v>
      </c>
      <c r="P123" s="1665" t="s">
        <v>3544</v>
      </c>
      <c r="Q123" s="368"/>
      <c r="R123" s="368"/>
    </row>
    <row r="124" spans="1:18" ht="40.950000000000003" customHeight="1">
      <c r="A124" s="1843"/>
      <c r="B124" s="1791"/>
      <c r="C124" s="2019"/>
      <c r="D124" s="727" t="s">
        <v>1321</v>
      </c>
      <c r="E124" s="1207">
        <f>E123</f>
        <v>106</v>
      </c>
      <c r="F124" s="1207">
        <f t="shared" ref="F124:G124" si="44">F123</f>
        <v>72.146000000000001</v>
      </c>
      <c r="G124" s="1207">
        <f t="shared" si="44"/>
        <v>72.141999999999996</v>
      </c>
      <c r="H124" s="1233">
        <f t="shared" si="41"/>
        <v>0.99994455687078976</v>
      </c>
      <c r="I124" s="706">
        <f t="shared" ref="I124" si="45">I123</f>
        <v>106</v>
      </c>
      <c r="J124" s="1702"/>
      <c r="K124" s="1708"/>
      <c r="L124" s="1638"/>
      <c r="M124" s="1638"/>
      <c r="N124" s="1639"/>
      <c r="O124" s="1639"/>
      <c r="P124" s="1671"/>
      <c r="Q124" s="368"/>
      <c r="R124" s="368"/>
    </row>
    <row r="125" spans="1:18" ht="37.950000000000003" customHeight="1">
      <c r="A125" s="1803" t="s">
        <v>2048</v>
      </c>
      <c r="B125" s="1889" t="s">
        <v>1437</v>
      </c>
      <c r="C125" s="1826">
        <v>300079075</v>
      </c>
      <c r="D125" s="724" t="s">
        <v>668</v>
      </c>
      <c r="E125" s="1222">
        <v>0.7</v>
      </c>
      <c r="F125" s="1222">
        <v>0.7</v>
      </c>
      <c r="G125" s="1222">
        <v>0.7</v>
      </c>
      <c r="H125" s="1224">
        <f t="shared" si="41"/>
        <v>1</v>
      </c>
      <c r="I125" s="701">
        <v>0.7</v>
      </c>
      <c r="J125" s="1698" t="s">
        <v>2265</v>
      </c>
      <c r="K125" s="1640" t="s">
        <v>1767</v>
      </c>
      <c r="L125" s="1637" t="s">
        <v>523</v>
      </c>
      <c r="M125" s="1637" t="s">
        <v>1608</v>
      </c>
      <c r="N125" s="1637" t="s">
        <v>1533</v>
      </c>
      <c r="O125" s="1637" t="s">
        <v>1755</v>
      </c>
      <c r="P125" s="1991" t="s">
        <v>3544</v>
      </c>
      <c r="Q125" s="368"/>
      <c r="R125" s="368"/>
    </row>
    <row r="126" spans="1:18" ht="39.65" customHeight="1">
      <c r="A126" s="1843"/>
      <c r="B126" s="1890"/>
      <c r="C126" s="2042"/>
      <c r="D126" s="730" t="s">
        <v>1321</v>
      </c>
      <c r="E126" s="1262">
        <f>E125</f>
        <v>0.7</v>
      </c>
      <c r="F126" s="1262">
        <f t="shared" ref="F126:G126" si="46">F125</f>
        <v>0.7</v>
      </c>
      <c r="G126" s="1262">
        <f t="shared" si="46"/>
        <v>0.7</v>
      </c>
      <c r="H126" s="1233">
        <f t="shared" si="41"/>
        <v>1</v>
      </c>
      <c r="I126" s="731">
        <f>I125</f>
        <v>0.7</v>
      </c>
      <c r="J126" s="1698"/>
      <c r="K126" s="1708"/>
      <c r="L126" s="1638"/>
      <c r="M126" s="1638"/>
      <c r="N126" s="1639"/>
      <c r="O126" s="1639"/>
      <c r="P126" s="1993"/>
      <c r="Q126" s="368"/>
      <c r="R126" s="368"/>
    </row>
    <row r="127" spans="1:18" ht="44.5" customHeight="1">
      <c r="A127" s="1803" t="s">
        <v>2049</v>
      </c>
      <c r="B127" s="1791" t="s">
        <v>1438</v>
      </c>
      <c r="C127" s="1826">
        <v>190230824</v>
      </c>
      <c r="D127" s="724" t="s">
        <v>668</v>
      </c>
      <c r="E127" s="1222">
        <v>45</v>
      </c>
      <c r="F127" s="1222">
        <v>92.745000000000005</v>
      </c>
      <c r="G127" s="1222">
        <v>92.745000000000005</v>
      </c>
      <c r="H127" s="1259">
        <f t="shared" si="41"/>
        <v>1</v>
      </c>
      <c r="I127" s="701">
        <v>102</v>
      </c>
      <c r="J127" s="1698"/>
      <c r="K127" s="1640" t="s">
        <v>3467</v>
      </c>
      <c r="L127" s="1637" t="s">
        <v>3345</v>
      </c>
      <c r="M127" s="1637" t="s">
        <v>1768</v>
      </c>
      <c r="N127" s="1637" t="s">
        <v>1568</v>
      </c>
      <c r="O127" s="1637" t="s">
        <v>3474</v>
      </c>
      <c r="P127" s="1991" t="s">
        <v>3544</v>
      </c>
      <c r="Q127" s="368"/>
      <c r="R127" s="368"/>
    </row>
    <row r="128" spans="1:18" ht="33" customHeight="1">
      <c r="A128" s="1803"/>
      <c r="B128" s="1791"/>
      <c r="C128" s="1826"/>
      <c r="D128" s="727" t="s">
        <v>1321</v>
      </c>
      <c r="E128" s="1207">
        <f>E127</f>
        <v>45</v>
      </c>
      <c r="F128" s="1207">
        <f t="shared" ref="F128:G128" si="47">F127</f>
        <v>92.745000000000005</v>
      </c>
      <c r="G128" s="1207">
        <f t="shared" si="47"/>
        <v>92.745000000000005</v>
      </c>
      <c r="H128" s="1233">
        <f t="shared" ref="H128:H154" si="48">G128/F128-1</f>
        <v>0</v>
      </c>
      <c r="I128" s="706">
        <f t="shared" ref="I128" si="49">I127</f>
        <v>102</v>
      </c>
      <c r="J128" s="1698"/>
      <c r="K128" s="1708"/>
      <c r="L128" s="1638"/>
      <c r="M128" s="1638"/>
      <c r="N128" s="1639"/>
      <c r="O128" s="1639"/>
      <c r="P128" s="1993"/>
      <c r="Q128" s="368"/>
      <c r="R128" s="368"/>
    </row>
    <row r="129" spans="1:18" ht="20.149999999999999" hidden="1" customHeight="1">
      <c r="A129" s="2010" t="s">
        <v>2050</v>
      </c>
      <c r="B129" s="1791" t="s">
        <v>1439</v>
      </c>
      <c r="C129" s="1826">
        <v>300079075</v>
      </c>
      <c r="D129" s="724" t="s">
        <v>668</v>
      </c>
      <c r="E129" s="1220"/>
      <c r="F129" s="1220"/>
      <c r="G129" s="1220"/>
      <c r="H129" s="1233" t="e">
        <f t="shared" si="48"/>
        <v>#DIV/0!</v>
      </c>
      <c r="I129" s="701">
        <v>0</v>
      </c>
      <c r="J129" s="1698"/>
      <c r="K129" s="2012" t="s">
        <v>1784</v>
      </c>
      <c r="L129" s="1637" t="s">
        <v>1620</v>
      </c>
      <c r="M129" s="1637"/>
      <c r="N129" s="525"/>
      <c r="O129" s="525"/>
      <c r="P129" s="1189"/>
      <c r="Q129" s="368"/>
      <c r="R129" s="368"/>
    </row>
    <row r="130" spans="1:18" ht="20.149999999999999" hidden="1" customHeight="1">
      <c r="A130" s="2010"/>
      <c r="B130" s="1791"/>
      <c r="C130" s="1826"/>
      <c r="D130" s="724" t="s">
        <v>1324</v>
      </c>
      <c r="E130" s="824"/>
      <c r="F130" s="824"/>
      <c r="G130" s="824"/>
      <c r="H130" s="1233" t="e">
        <f t="shared" si="48"/>
        <v>#DIV/0!</v>
      </c>
      <c r="I130" s="643"/>
      <c r="J130" s="1698"/>
      <c r="K130" s="2013"/>
      <c r="L130" s="1638"/>
      <c r="M130" s="1638"/>
      <c r="N130" s="526"/>
      <c r="O130" s="526"/>
      <c r="P130" s="1189"/>
      <c r="Q130" s="368"/>
      <c r="R130" s="368"/>
    </row>
    <row r="131" spans="1:18" ht="20.149999999999999" hidden="1" customHeight="1">
      <c r="A131" s="2010"/>
      <c r="B131" s="1791"/>
      <c r="C131" s="1826"/>
      <c r="D131" s="727" t="s">
        <v>1321</v>
      </c>
      <c r="E131" s="1225">
        <f>E129</f>
        <v>0</v>
      </c>
      <c r="F131" s="1225"/>
      <c r="G131" s="1225"/>
      <c r="H131" s="1233" t="e">
        <f t="shared" si="48"/>
        <v>#DIV/0!</v>
      </c>
      <c r="I131" s="706">
        <f t="shared" ref="I131" si="50">I129</f>
        <v>0</v>
      </c>
      <c r="J131" s="1698"/>
      <c r="K131" s="2014"/>
      <c r="L131" s="1638"/>
      <c r="M131" s="1638"/>
      <c r="N131" s="526"/>
      <c r="O131" s="526"/>
      <c r="P131" s="1189"/>
      <c r="Q131" s="368"/>
      <c r="R131" s="368"/>
    </row>
    <row r="132" spans="1:18" ht="27.75" customHeight="1">
      <c r="A132" s="1803" t="s">
        <v>2051</v>
      </c>
      <c r="B132" s="1791" t="s">
        <v>1440</v>
      </c>
      <c r="C132" s="1826">
        <v>188711925</v>
      </c>
      <c r="D132" s="724" t="s">
        <v>668</v>
      </c>
      <c r="E132" s="1222">
        <v>41.5</v>
      </c>
      <c r="F132" s="1222">
        <v>73.391000000000005</v>
      </c>
      <c r="G132" s="1222">
        <v>72.494</v>
      </c>
      <c r="H132" s="1259">
        <f>G132/F132</f>
        <v>0.98777779291738765</v>
      </c>
      <c r="I132" s="701">
        <f>50.25+50</f>
        <v>100.25</v>
      </c>
      <c r="J132" s="1701" t="s">
        <v>2261</v>
      </c>
      <c r="K132" s="1640" t="s">
        <v>3468</v>
      </c>
      <c r="L132" s="1637" t="s">
        <v>3346</v>
      </c>
      <c r="M132" s="1637" t="s">
        <v>3669</v>
      </c>
      <c r="N132" s="1637" t="s">
        <v>469</v>
      </c>
      <c r="O132" s="1637" t="s">
        <v>1568</v>
      </c>
      <c r="P132" s="1665" t="s">
        <v>3544</v>
      </c>
      <c r="Q132" s="368"/>
      <c r="R132" s="368"/>
    </row>
    <row r="133" spans="1:18" ht="25.5" customHeight="1">
      <c r="A133" s="1843"/>
      <c r="B133" s="1791"/>
      <c r="C133" s="2019"/>
      <c r="D133" s="724" t="s">
        <v>1549</v>
      </c>
      <c r="E133" s="1222">
        <v>91.7</v>
      </c>
      <c r="F133" s="1222">
        <v>101.03</v>
      </c>
      <c r="G133" s="1222">
        <v>100.919</v>
      </c>
      <c r="H133" s="1259">
        <f>G133/F133</f>
        <v>0.99890131644066116</v>
      </c>
      <c r="I133" s="701">
        <v>99.3</v>
      </c>
      <c r="J133" s="1882"/>
      <c r="K133" s="1709"/>
      <c r="L133" s="1638"/>
      <c r="M133" s="1638"/>
      <c r="N133" s="1638"/>
      <c r="O133" s="1638"/>
      <c r="P133" s="1666"/>
      <c r="Q133" s="368"/>
      <c r="R133" s="368"/>
    </row>
    <row r="134" spans="1:18" ht="28.5" customHeight="1">
      <c r="A134" s="1843"/>
      <c r="B134" s="1791"/>
      <c r="C134" s="2019"/>
      <c r="D134" s="727" t="s">
        <v>1321</v>
      </c>
      <c r="E134" s="1207">
        <f>SUM(E132:E133)</f>
        <v>133.19999999999999</v>
      </c>
      <c r="F134" s="1207">
        <f t="shared" ref="F134:G134" si="51">SUM(F132:F133)</f>
        <v>174.42099999999999</v>
      </c>
      <c r="G134" s="1207">
        <f t="shared" si="51"/>
        <v>173.41300000000001</v>
      </c>
      <c r="H134" s="1233">
        <f>G134/F134</f>
        <v>0.99422087936659009</v>
      </c>
      <c r="I134" s="706">
        <f t="shared" ref="I134" si="52">SUM(I132:I133)</f>
        <v>199.55</v>
      </c>
      <c r="J134" s="1882"/>
      <c r="K134" s="1708"/>
      <c r="L134" s="1638"/>
      <c r="M134" s="1638"/>
      <c r="N134" s="1639"/>
      <c r="O134" s="1639"/>
      <c r="P134" s="1671"/>
      <c r="Q134" s="368"/>
      <c r="R134" s="368"/>
    </row>
    <row r="135" spans="1:18" ht="53.5" customHeight="1">
      <c r="A135" s="1803" t="s">
        <v>2052</v>
      </c>
      <c r="B135" s="1791" t="s">
        <v>3692</v>
      </c>
      <c r="C135" s="1826">
        <v>188711925</v>
      </c>
      <c r="D135" s="724" t="s">
        <v>66</v>
      </c>
      <c r="E135" s="1222">
        <v>179.874</v>
      </c>
      <c r="F135" s="1222">
        <v>179.874</v>
      </c>
      <c r="G135" s="1222">
        <v>59.651000000000003</v>
      </c>
      <c r="H135" s="1268">
        <f>G135/F135</f>
        <v>0.3316265830525813</v>
      </c>
      <c r="I135" s="701">
        <v>47.5</v>
      </c>
      <c r="J135" s="1882"/>
      <c r="K135" s="1640" t="s">
        <v>3582</v>
      </c>
      <c r="L135" s="1637" t="s">
        <v>1786</v>
      </c>
      <c r="M135" s="1637" t="s">
        <v>1785</v>
      </c>
      <c r="N135" s="1637" t="s">
        <v>3032</v>
      </c>
      <c r="O135" s="1637" t="s">
        <v>613</v>
      </c>
      <c r="P135" s="1665" t="s">
        <v>3626</v>
      </c>
      <c r="Q135" s="368"/>
      <c r="R135" s="368"/>
    </row>
    <row r="136" spans="1:18" ht="49.2" hidden="1" customHeight="1">
      <c r="A136" s="1803"/>
      <c r="B136" s="1836"/>
      <c r="C136" s="1839"/>
      <c r="D136" s="1136" t="s">
        <v>1349</v>
      </c>
      <c r="E136" s="1269"/>
      <c r="F136" s="1269"/>
      <c r="G136" s="1269"/>
      <c r="H136" s="1257" t="e">
        <f t="shared" si="48"/>
        <v>#DIV/0!</v>
      </c>
      <c r="I136" s="798"/>
      <c r="J136" s="1882"/>
      <c r="K136" s="1642"/>
      <c r="L136" s="1638"/>
      <c r="M136" s="1638"/>
      <c r="N136" s="1638"/>
      <c r="O136" s="1638"/>
      <c r="P136" s="1666"/>
      <c r="Q136" s="368"/>
      <c r="R136" s="368"/>
    </row>
    <row r="137" spans="1:18" ht="69.650000000000006" hidden="1" customHeight="1">
      <c r="A137" s="1803"/>
      <c r="B137" s="1836"/>
      <c r="C137" s="1839"/>
      <c r="D137" s="744" t="s">
        <v>341</v>
      </c>
      <c r="E137" s="1269"/>
      <c r="F137" s="1269"/>
      <c r="G137" s="1269"/>
      <c r="H137" s="1257" t="e">
        <f t="shared" si="48"/>
        <v>#DIV/0!</v>
      </c>
      <c r="I137" s="798">
        <v>212.5</v>
      </c>
      <c r="J137" s="1882"/>
      <c r="K137" s="1642"/>
      <c r="L137" s="1638"/>
      <c r="M137" s="1638"/>
      <c r="N137" s="1638"/>
      <c r="O137" s="1638"/>
      <c r="P137" s="1666"/>
      <c r="Q137" s="368"/>
      <c r="R137" s="368"/>
    </row>
    <row r="138" spans="1:18" ht="105" customHeight="1">
      <c r="A138" s="1843"/>
      <c r="B138" s="1836"/>
      <c r="C138" s="2042"/>
      <c r="D138" s="730" t="s">
        <v>1321</v>
      </c>
      <c r="E138" s="1262">
        <f t="shared" ref="E138:I138" si="53">SUM(E135:E137)</f>
        <v>179.874</v>
      </c>
      <c r="F138" s="1262">
        <f t="shared" si="53"/>
        <v>179.874</v>
      </c>
      <c r="G138" s="1262">
        <f t="shared" si="53"/>
        <v>59.651000000000003</v>
      </c>
      <c r="H138" s="1221">
        <f>G138/F138</f>
        <v>0.3316265830525813</v>
      </c>
      <c r="I138" s="731">
        <f t="shared" si="53"/>
        <v>260</v>
      </c>
      <c r="J138" s="1702"/>
      <c r="K138" s="1708"/>
      <c r="L138" s="1639"/>
      <c r="M138" s="1639"/>
      <c r="N138" s="1639"/>
      <c r="O138" s="1639"/>
      <c r="P138" s="1671"/>
      <c r="Q138" s="368"/>
      <c r="R138" s="368"/>
    </row>
    <row r="139" spans="1:18" ht="20.149999999999999" hidden="1" customHeight="1">
      <c r="A139" s="2010" t="s">
        <v>2053</v>
      </c>
      <c r="B139" s="1791" t="s">
        <v>1441</v>
      </c>
      <c r="C139" s="1826">
        <v>188711925</v>
      </c>
      <c r="D139" s="724" t="s">
        <v>668</v>
      </c>
      <c r="E139" s="1220"/>
      <c r="F139" s="1220"/>
      <c r="G139" s="1220"/>
      <c r="H139" s="1257" t="e">
        <f t="shared" si="48"/>
        <v>#DIV/0!</v>
      </c>
      <c r="I139" s="701"/>
      <c r="J139" s="798"/>
      <c r="K139" s="2015" t="s">
        <v>2296</v>
      </c>
      <c r="L139" s="1956" t="s">
        <v>1621</v>
      </c>
      <c r="M139" s="1637"/>
      <c r="N139" s="525"/>
      <c r="O139" s="525"/>
      <c r="P139" s="1189"/>
      <c r="Q139" s="368"/>
      <c r="R139" s="368"/>
    </row>
    <row r="140" spans="1:18" ht="20.149999999999999" hidden="1" customHeight="1">
      <c r="A140" s="2010"/>
      <c r="B140" s="1791"/>
      <c r="C140" s="1826"/>
      <c r="D140" s="727" t="s">
        <v>1321</v>
      </c>
      <c r="E140" s="1225">
        <f>E139</f>
        <v>0</v>
      </c>
      <c r="F140" s="1225"/>
      <c r="G140" s="1225"/>
      <c r="H140" s="1257" t="e">
        <f t="shared" si="48"/>
        <v>#DIV/0!</v>
      </c>
      <c r="I140" s="706">
        <f t="shared" ref="I140" si="54">I139</f>
        <v>0</v>
      </c>
      <c r="J140" s="1044"/>
      <c r="K140" s="2016"/>
      <c r="L140" s="1768"/>
      <c r="M140" s="1638"/>
      <c r="N140" s="526"/>
      <c r="O140" s="526"/>
      <c r="P140" s="1189"/>
      <c r="Q140" s="368"/>
      <c r="R140" s="368"/>
    </row>
    <row r="141" spans="1:18" ht="20.149999999999999" customHeight="1">
      <c r="A141" s="1803" t="s">
        <v>2584</v>
      </c>
      <c r="B141" s="1791" t="s">
        <v>2582</v>
      </c>
      <c r="C141" s="1826">
        <v>190230824</v>
      </c>
      <c r="D141" s="724" t="s">
        <v>668</v>
      </c>
      <c r="E141" s="1220"/>
      <c r="F141" s="1220"/>
      <c r="G141" s="1220"/>
      <c r="H141" s="1261"/>
      <c r="I141" s="701"/>
      <c r="J141" s="1698" t="s">
        <v>2294</v>
      </c>
      <c r="K141" s="1640" t="s">
        <v>1590</v>
      </c>
      <c r="L141" s="1637" t="s">
        <v>1622</v>
      </c>
      <c r="M141" s="1637" t="s">
        <v>3584</v>
      </c>
      <c r="N141" s="1637" t="s">
        <v>1609</v>
      </c>
      <c r="O141" s="1637" t="s">
        <v>3585</v>
      </c>
      <c r="P141" s="1991" t="s">
        <v>3544</v>
      </c>
      <c r="Q141" s="368"/>
      <c r="R141" s="368"/>
    </row>
    <row r="142" spans="1:18" ht="20.149999999999999" customHeight="1">
      <c r="A142" s="1803"/>
      <c r="B142" s="1791"/>
      <c r="C142" s="1826"/>
      <c r="D142" s="724" t="s">
        <v>341</v>
      </c>
      <c r="E142" s="820"/>
      <c r="F142" s="820">
        <v>54.84</v>
      </c>
      <c r="G142" s="820">
        <v>30.632999999999999</v>
      </c>
      <c r="H142" s="1268">
        <f>G142/F142</f>
        <v>0.55858862144420129</v>
      </c>
      <c r="I142" s="701">
        <v>45.8</v>
      </c>
      <c r="J142" s="1698"/>
      <c r="K142" s="1709"/>
      <c r="L142" s="1638"/>
      <c r="M142" s="1638"/>
      <c r="N142" s="1638"/>
      <c r="O142" s="1638"/>
      <c r="P142" s="1992"/>
      <c r="Q142" s="368"/>
      <c r="R142" s="368"/>
    </row>
    <row r="143" spans="1:18" ht="20.149999999999999" customHeight="1">
      <c r="A143" s="1803"/>
      <c r="B143" s="1791"/>
      <c r="C143" s="1826"/>
      <c r="D143" s="724" t="s">
        <v>1349</v>
      </c>
      <c r="E143" s="1222">
        <v>12.34</v>
      </c>
      <c r="F143" s="1222">
        <v>12.34</v>
      </c>
      <c r="G143" s="1222">
        <v>10.984999999999999</v>
      </c>
      <c r="H143" s="1268">
        <f>G143/F143</f>
        <v>0.89019448946515389</v>
      </c>
      <c r="I143" s="701">
        <v>12.5</v>
      </c>
      <c r="J143" s="1698"/>
      <c r="K143" s="1709"/>
      <c r="L143" s="1638"/>
      <c r="M143" s="1638"/>
      <c r="N143" s="1638"/>
      <c r="O143" s="1638"/>
      <c r="P143" s="1992"/>
      <c r="Q143" s="368"/>
      <c r="R143" s="368"/>
    </row>
    <row r="144" spans="1:18" ht="20.149999999999999" customHeight="1">
      <c r="A144" s="1803"/>
      <c r="B144" s="1791"/>
      <c r="C144" s="1826"/>
      <c r="D144" s="724" t="s">
        <v>587</v>
      </c>
      <c r="E144" s="820"/>
      <c r="F144" s="820"/>
      <c r="G144" s="820"/>
      <c r="H144" s="1261"/>
      <c r="I144" s="701">
        <v>10.199999999999999</v>
      </c>
      <c r="J144" s="1698"/>
      <c r="K144" s="1709"/>
      <c r="L144" s="1638"/>
      <c r="M144" s="1638"/>
      <c r="N144" s="1638"/>
      <c r="O144" s="1638"/>
      <c r="P144" s="1992"/>
      <c r="Q144" s="368"/>
      <c r="R144" s="368"/>
    </row>
    <row r="145" spans="1:18" ht="27.75" customHeight="1">
      <c r="A145" s="1803"/>
      <c r="B145" s="1791"/>
      <c r="C145" s="1826"/>
      <c r="D145" s="727" t="s">
        <v>1321</v>
      </c>
      <c r="E145" s="1207">
        <f>SUM(E141:E143)</f>
        <v>12.34</v>
      </c>
      <c r="F145" s="1207">
        <f t="shared" ref="F145:G145" si="55">SUM(F141:F143)</f>
        <v>67.180000000000007</v>
      </c>
      <c r="G145" s="1207">
        <f t="shared" si="55"/>
        <v>41.617999999999995</v>
      </c>
      <c r="H145" s="1221">
        <f>G145/F145</f>
        <v>0.61949985114617434</v>
      </c>
      <c r="I145" s="706">
        <f>SUM(I141:I144)</f>
        <v>68.5</v>
      </c>
      <c r="J145" s="1698"/>
      <c r="K145" s="1708"/>
      <c r="L145" s="1638"/>
      <c r="M145" s="1638"/>
      <c r="N145" s="1639"/>
      <c r="O145" s="1639"/>
      <c r="P145" s="1993"/>
      <c r="Q145" s="368"/>
      <c r="R145" s="368"/>
    </row>
    <row r="146" spans="1:18" ht="20.149999999999999" hidden="1" customHeight="1">
      <c r="A146" s="1803" t="s">
        <v>2054</v>
      </c>
      <c r="B146" s="1791" t="s">
        <v>1442</v>
      </c>
      <c r="C146" s="1826">
        <v>188711925</v>
      </c>
      <c r="D146" s="724" t="s">
        <v>668</v>
      </c>
      <c r="E146" s="1220"/>
      <c r="F146" s="1220"/>
      <c r="G146" s="1220"/>
      <c r="H146" s="1257" t="e">
        <f t="shared" si="48"/>
        <v>#DIV/0!</v>
      </c>
      <c r="I146" s="701"/>
      <c r="J146" s="1044"/>
      <c r="K146" s="1640" t="s">
        <v>1591</v>
      </c>
      <c r="L146" s="1637" t="s">
        <v>1623</v>
      </c>
      <c r="M146" s="1637"/>
      <c r="N146" s="525"/>
      <c r="O146" s="525"/>
      <c r="P146" s="1189"/>
      <c r="Q146" s="368"/>
      <c r="R146" s="368"/>
    </row>
    <row r="147" spans="1:18" ht="24" hidden="1" customHeight="1">
      <c r="A147" s="1803"/>
      <c r="B147" s="1791"/>
      <c r="C147" s="1826"/>
      <c r="D147" s="727" t="s">
        <v>1321</v>
      </c>
      <c r="E147" s="1225">
        <f>E146</f>
        <v>0</v>
      </c>
      <c r="F147" s="1225"/>
      <c r="G147" s="1225"/>
      <c r="H147" s="1257" t="e">
        <f t="shared" si="48"/>
        <v>#DIV/0!</v>
      </c>
      <c r="I147" s="706">
        <f t="shared" ref="I147" si="56">I146</f>
        <v>0</v>
      </c>
      <c r="J147" s="1044"/>
      <c r="K147" s="1708"/>
      <c r="L147" s="1638"/>
      <c r="M147" s="1638"/>
      <c r="N147" s="526"/>
      <c r="O147" s="526"/>
      <c r="P147" s="1189"/>
      <c r="Q147" s="368"/>
      <c r="R147" s="368"/>
    </row>
    <row r="148" spans="1:18" ht="57" customHeight="1">
      <c r="A148" s="1803" t="s">
        <v>2055</v>
      </c>
      <c r="B148" s="1791" t="s">
        <v>1443</v>
      </c>
      <c r="C148" s="1826">
        <v>188711925</v>
      </c>
      <c r="D148" s="724" t="s">
        <v>668</v>
      </c>
      <c r="E148" s="1222">
        <v>12</v>
      </c>
      <c r="F148" s="1222">
        <v>12</v>
      </c>
      <c r="G148" s="1222">
        <v>11.134</v>
      </c>
      <c r="H148" s="1268">
        <f>G148/F148</f>
        <v>0.9278333333333334</v>
      </c>
      <c r="I148" s="701">
        <v>12</v>
      </c>
      <c r="J148" s="1882" t="s">
        <v>2260</v>
      </c>
      <c r="K148" s="1640" t="s">
        <v>1769</v>
      </c>
      <c r="L148" s="1637" t="s">
        <v>1624</v>
      </c>
      <c r="M148" s="1637" t="s">
        <v>1610</v>
      </c>
      <c r="N148" s="1637" t="s">
        <v>1533</v>
      </c>
      <c r="O148" s="1637" t="s">
        <v>3033</v>
      </c>
      <c r="P148" s="1665" t="s">
        <v>3544</v>
      </c>
      <c r="Q148" s="368"/>
      <c r="R148" s="368"/>
    </row>
    <row r="149" spans="1:18" ht="29.5" customHeight="1">
      <c r="A149" s="1803"/>
      <c r="B149" s="1791"/>
      <c r="C149" s="1826"/>
      <c r="D149" s="727" t="s">
        <v>1321</v>
      </c>
      <c r="E149" s="1207">
        <f>E148</f>
        <v>12</v>
      </c>
      <c r="F149" s="1207">
        <f t="shared" ref="F149:G149" si="57">F148</f>
        <v>12</v>
      </c>
      <c r="G149" s="1207">
        <f t="shared" si="57"/>
        <v>11.134</v>
      </c>
      <c r="H149" s="1221">
        <f>G149/F149</f>
        <v>0.9278333333333334</v>
      </c>
      <c r="I149" s="706">
        <f t="shared" ref="I149" si="58">I148</f>
        <v>12</v>
      </c>
      <c r="J149" s="1882"/>
      <c r="K149" s="1708"/>
      <c r="L149" s="1638"/>
      <c r="M149" s="1638"/>
      <c r="N149" s="1639"/>
      <c r="O149" s="1639"/>
      <c r="P149" s="1671"/>
      <c r="Q149" s="368"/>
      <c r="R149" s="368"/>
    </row>
    <row r="150" spans="1:18" ht="20.149999999999999" customHeight="1">
      <c r="A150" s="1803" t="s">
        <v>2056</v>
      </c>
      <c r="B150" s="1791" t="s">
        <v>1444</v>
      </c>
      <c r="C150" s="1826">
        <v>188711925</v>
      </c>
      <c r="D150" s="724" t="s">
        <v>668</v>
      </c>
      <c r="E150" s="1220"/>
      <c r="F150" s="1220"/>
      <c r="G150" s="1220"/>
      <c r="H150" s="1261"/>
      <c r="I150" s="701"/>
      <c r="J150" s="1882"/>
      <c r="K150" s="1640" t="s">
        <v>3713</v>
      </c>
      <c r="L150" s="1637" t="s">
        <v>1625</v>
      </c>
      <c r="M150" s="1637" t="s">
        <v>1611</v>
      </c>
      <c r="N150" s="1637" t="s">
        <v>612</v>
      </c>
      <c r="O150" s="1637" t="s">
        <v>1757</v>
      </c>
      <c r="P150" s="1665" t="s">
        <v>3544</v>
      </c>
      <c r="Q150" s="368"/>
      <c r="R150" s="368"/>
    </row>
    <row r="151" spans="1:18" ht="20.149999999999999" customHeight="1">
      <c r="A151" s="1803"/>
      <c r="B151" s="1791"/>
      <c r="C151" s="1826"/>
      <c r="D151" s="724" t="s">
        <v>1587</v>
      </c>
      <c r="E151" s="1222">
        <v>11.54</v>
      </c>
      <c r="F151" s="1222">
        <v>6.9249999999999998</v>
      </c>
      <c r="G151" s="1222">
        <v>3.81</v>
      </c>
      <c r="H151" s="1268">
        <f>G151/F151</f>
        <v>0.5501805054151625</v>
      </c>
      <c r="I151" s="701">
        <v>5.58</v>
      </c>
      <c r="J151" s="1882"/>
      <c r="K151" s="1709"/>
      <c r="L151" s="1638"/>
      <c r="M151" s="1638"/>
      <c r="N151" s="1638"/>
      <c r="O151" s="1638"/>
      <c r="P151" s="1666"/>
      <c r="Q151" s="368"/>
      <c r="R151" s="368"/>
    </row>
    <row r="152" spans="1:18" ht="20.149999999999999" customHeight="1">
      <c r="A152" s="1803"/>
      <c r="B152" s="1791"/>
      <c r="C152" s="1826"/>
      <c r="D152" s="724" t="s">
        <v>1349</v>
      </c>
      <c r="E152" s="1222">
        <v>5.7</v>
      </c>
      <c r="F152" s="1222"/>
      <c r="G152" s="1222"/>
      <c r="H152" s="1261"/>
      <c r="I152" s="701">
        <f>I154</f>
        <v>0</v>
      </c>
      <c r="J152" s="1882"/>
      <c r="K152" s="1709"/>
      <c r="L152" s="1638"/>
      <c r="M152" s="1638"/>
      <c r="N152" s="1638"/>
      <c r="O152" s="1638"/>
      <c r="P152" s="1666"/>
      <c r="Q152" s="368"/>
      <c r="R152" s="368"/>
    </row>
    <row r="153" spans="1:18" ht="27.65" customHeight="1">
      <c r="A153" s="1803"/>
      <c r="B153" s="1791"/>
      <c r="C153" s="1826"/>
      <c r="D153" s="727" t="s">
        <v>1321</v>
      </c>
      <c r="E153" s="1207">
        <f>SUM(E150:E152)</f>
        <v>17.239999999999998</v>
      </c>
      <c r="F153" s="1207">
        <f t="shared" ref="F153:G153" si="59">SUM(F150:F152)</f>
        <v>6.9249999999999998</v>
      </c>
      <c r="G153" s="1207">
        <f t="shared" si="59"/>
        <v>3.81</v>
      </c>
      <c r="H153" s="1221">
        <f>G153/F153</f>
        <v>0.5501805054151625</v>
      </c>
      <c r="I153" s="706">
        <f t="shared" ref="I153" si="60">SUM(I150:I152)</f>
        <v>5.58</v>
      </c>
      <c r="J153" s="1882"/>
      <c r="K153" s="1709"/>
      <c r="L153" s="1638"/>
      <c r="M153" s="1638"/>
      <c r="N153" s="1639"/>
      <c r="O153" s="1639"/>
      <c r="P153" s="1671"/>
      <c r="Q153" s="368"/>
      <c r="R153" s="368"/>
    </row>
    <row r="154" spans="1:18" ht="44.25" hidden="1" customHeight="1">
      <c r="A154" s="1192"/>
      <c r="B154" s="1270" t="s">
        <v>1588</v>
      </c>
      <c r="C154" s="990"/>
      <c r="D154" s="751" t="s">
        <v>1349</v>
      </c>
      <c r="E154" s="1271">
        <v>5.7</v>
      </c>
      <c r="F154" s="1271"/>
      <c r="G154" s="1271"/>
      <c r="H154" s="1257" t="e">
        <f t="shared" si="48"/>
        <v>#DIV/0!</v>
      </c>
      <c r="I154" s="719">
        <v>0</v>
      </c>
      <c r="J154" s="1882"/>
      <c r="K154" s="1493"/>
      <c r="L154" s="483"/>
      <c r="M154" s="483"/>
      <c r="N154" s="483"/>
      <c r="O154" s="483"/>
      <c r="P154" s="1189"/>
      <c r="Q154" s="368"/>
      <c r="R154" s="368"/>
    </row>
    <row r="155" spans="1:18" ht="26.25" customHeight="1">
      <c r="A155" s="1803" t="s">
        <v>2057</v>
      </c>
      <c r="B155" s="1791" t="s">
        <v>2838</v>
      </c>
      <c r="C155" s="1826">
        <v>188711925</v>
      </c>
      <c r="D155" s="724" t="s">
        <v>668</v>
      </c>
      <c r="E155" s="1220"/>
      <c r="F155" s="1220"/>
      <c r="G155" s="1220"/>
      <c r="H155" s="1261"/>
      <c r="I155" s="701"/>
      <c r="J155" s="1882"/>
      <c r="K155" s="1640" t="s">
        <v>3670</v>
      </c>
      <c r="L155" s="1637" t="s">
        <v>1626</v>
      </c>
      <c r="M155" s="1637" t="s">
        <v>3671</v>
      </c>
      <c r="N155" s="1637" t="s">
        <v>566</v>
      </c>
      <c r="O155" s="1637" t="s">
        <v>3583</v>
      </c>
      <c r="P155" s="1665" t="s">
        <v>3544</v>
      </c>
      <c r="Q155" s="368"/>
      <c r="R155" s="368"/>
    </row>
    <row r="156" spans="1:18" ht="27" customHeight="1">
      <c r="A156" s="1803"/>
      <c r="B156" s="1791"/>
      <c r="C156" s="1826"/>
      <c r="D156" s="724" t="s">
        <v>1349</v>
      </c>
      <c r="E156" s="1222">
        <v>38.725000000000001</v>
      </c>
      <c r="F156" s="1222">
        <v>266.25599999999997</v>
      </c>
      <c r="G156" s="1222">
        <v>266.25599999999997</v>
      </c>
      <c r="H156" s="1268">
        <f t="shared" ref="H156:H161" si="61">G156/F156</f>
        <v>1</v>
      </c>
      <c r="I156" s="701">
        <f>22.053+2.098</f>
        <v>24.151</v>
      </c>
      <c r="J156" s="1882"/>
      <c r="K156" s="1709"/>
      <c r="L156" s="1638"/>
      <c r="M156" s="1638"/>
      <c r="N156" s="1638"/>
      <c r="O156" s="1638"/>
      <c r="P156" s="1666"/>
      <c r="Q156" s="368"/>
      <c r="R156" s="368"/>
    </row>
    <row r="157" spans="1:18" ht="32.5" customHeight="1">
      <c r="A157" s="1803"/>
      <c r="B157" s="1791"/>
      <c r="C157" s="1826"/>
      <c r="D157" s="727" t="s">
        <v>1321</v>
      </c>
      <c r="E157" s="1207">
        <f>SUM(E155:E156)</f>
        <v>38.725000000000001</v>
      </c>
      <c r="F157" s="1207">
        <f t="shared" ref="F157:G157" si="62">SUM(F155:F156)</f>
        <v>266.25599999999997</v>
      </c>
      <c r="G157" s="1207">
        <f t="shared" si="62"/>
        <v>266.25599999999997</v>
      </c>
      <c r="H157" s="1221">
        <f t="shared" si="61"/>
        <v>1</v>
      </c>
      <c r="I157" s="706">
        <f t="shared" ref="I157" si="63">SUM(I155:I156)</f>
        <v>24.151</v>
      </c>
      <c r="J157" s="1702"/>
      <c r="K157" s="1708"/>
      <c r="L157" s="1638"/>
      <c r="M157" s="1638"/>
      <c r="N157" s="1639"/>
      <c r="O157" s="1639"/>
      <c r="P157" s="1671"/>
      <c r="Q157" s="368"/>
      <c r="R157" s="368"/>
    </row>
    <row r="158" spans="1:18" ht="33.75" customHeight="1">
      <c r="A158" s="496" t="s">
        <v>2058</v>
      </c>
      <c r="B158" s="496" t="s">
        <v>1445</v>
      </c>
      <c r="C158" s="1217"/>
      <c r="D158" s="1217"/>
      <c r="E158" s="1202">
        <f>SUM(E160,E163,E167,E173,E177,E181,E189,E192,E195,E197,E200,E204,E207,E210,)</f>
        <v>994.14300000000003</v>
      </c>
      <c r="F158" s="1202">
        <f t="shared" ref="F158:G158" si="64">SUM(F160,F163,F167,F173,F177,F181,F189,F192,F195,F197,F200,F204,F207,F210,)</f>
        <v>731.62399999999991</v>
      </c>
      <c r="G158" s="1202">
        <f t="shared" si="64"/>
        <v>579.73900000000003</v>
      </c>
      <c r="H158" s="1272">
        <f t="shared" si="61"/>
        <v>0.79240019463549594</v>
      </c>
      <c r="I158" s="691">
        <f>SUM(I160,I163,I167,I173,I177,I181,I189,I192,I195,I197,I200,I204,I207,I210,I213)</f>
        <v>1008.722</v>
      </c>
      <c r="J158" s="691" t="s">
        <v>2297</v>
      </c>
      <c r="K158" s="1997"/>
      <c r="L158" s="1998"/>
      <c r="M158" s="1998"/>
      <c r="N158" s="1998"/>
      <c r="O158" s="1998"/>
      <c r="P158" s="1999"/>
      <c r="Q158" s="368"/>
      <c r="R158" s="368"/>
    </row>
    <row r="159" spans="1:18" ht="50.5" customHeight="1">
      <c r="A159" s="1767" t="s">
        <v>2059</v>
      </c>
      <c r="B159" s="1824" t="s">
        <v>1446</v>
      </c>
      <c r="C159" s="1828">
        <v>188711925</v>
      </c>
      <c r="D159" s="733" t="s">
        <v>668</v>
      </c>
      <c r="E159" s="1204">
        <v>27</v>
      </c>
      <c r="F159" s="1204">
        <v>27</v>
      </c>
      <c r="G159" s="1204">
        <v>23.013999999999999</v>
      </c>
      <c r="H159" s="1219">
        <f t="shared" si="61"/>
        <v>0.85237037037037033</v>
      </c>
      <c r="I159" s="734">
        <v>27</v>
      </c>
      <c r="J159" s="2028" t="s">
        <v>2260</v>
      </c>
      <c r="K159" s="1642" t="s">
        <v>2782</v>
      </c>
      <c r="L159" s="1638" t="s">
        <v>1627</v>
      </c>
      <c r="M159" s="1638" t="s">
        <v>1612</v>
      </c>
      <c r="N159" s="1637" t="s">
        <v>612</v>
      </c>
      <c r="O159" s="1637" t="s">
        <v>612</v>
      </c>
      <c r="P159" s="1665" t="s">
        <v>3544</v>
      </c>
      <c r="Q159" s="368"/>
      <c r="R159" s="368"/>
    </row>
    <row r="160" spans="1:18" ht="36.75" customHeight="1">
      <c r="A160" s="1803"/>
      <c r="B160" s="1791">
        <f>SUM(B159:B159)</f>
        <v>0</v>
      </c>
      <c r="C160" s="1826">
        <f>SUM(C159:C159)</f>
        <v>188711925</v>
      </c>
      <c r="D160" s="727" t="s">
        <v>1321</v>
      </c>
      <c r="E160" s="1207">
        <f>E159</f>
        <v>27</v>
      </c>
      <c r="F160" s="1207">
        <f t="shared" ref="F160:H162" si="65">F159</f>
        <v>27</v>
      </c>
      <c r="G160" s="1207">
        <f t="shared" si="65"/>
        <v>23.013999999999999</v>
      </c>
      <c r="H160" s="1221">
        <f t="shared" si="61"/>
        <v>0.85237037037037033</v>
      </c>
      <c r="I160" s="706">
        <f t="shared" ref="I160" si="66">I159</f>
        <v>27</v>
      </c>
      <c r="J160" s="2029"/>
      <c r="K160" s="1708"/>
      <c r="L160" s="1638"/>
      <c r="M160" s="1638"/>
      <c r="N160" s="1639"/>
      <c r="O160" s="1639"/>
      <c r="P160" s="1671"/>
      <c r="Q160" s="368"/>
      <c r="R160" s="368"/>
    </row>
    <row r="161" spans="1:18" ht="27.65" customHeight="1">
      <c r="A161" s="1803" t="s">
        <v>2872</v>
      </c>
      <c r="B161" s="1791" t="s">
        <v>1447</v>
      </c>
      <c r="C161" s="1826">
        <v>188711925</v>
      </c>
      <c r="D161" s="724" t="s">
        <v>668</v>
      </c>
      <c r="E161" s="1222">
        <v>2.2000000000000002</v>
      </c>
      <c r="F161" s="1222">
        <v>2.2000000000000002</v>
      </c>
      <c r="G161" s="1222">
        <v>1.21</v>
      </c>
      <c r="H161" s="1268">
        <f t="shared" si="61"/>
        <v>0.54999999999999993</v>
      </c>
      <c r="I161" s="701"/>
      <c r="J161" s="1701" t="s">
        <v>2269</v>
      </c>
      <c r="K161" s="1640" t="s">
        <v>3586</v>
      </c>
      <c r="L161" s="1646" t="s">
        <v>1628</v>
      </c>
      <c r="M161" s="1646" t="s">
        <v>1613</v>
      </c>
      <c r="N161" s="1637" t="s">
        <v>469</v>
      </c>
      <c r="O161" s="1637" t="s">
        <v>613</v>
      </c>
      <c r="P161" s="1665" t="s">
        <v>3545</v>
      </c>
      <c r="Q161" s="368"/>
      <c r="R161" s="368"/>
    </row>
    <row r="162" spans="1:18" ht="27" hidden="1" customHeight="1">
      <c r="A162" s="1765"/>
      <c r="B162" s="1836"/>
      <c r="C162" s="1839"/>
      <c r="D162" s="724" t="s">
        <v>341</v>
      </c>
      <c r="E162" s="1222"/>
      <c r="F162" s="1222"/>
      <c r="G162" s="1222"/>
      <c r="H162" s="1221">
        <f t="shared" si="65"/>
        <v>0.54999999999999993</v>
      </c>
      <c r="I162" s="701"/>
      <c r="J162" s="1882"/>
      <c r="K162" s="1642"/>
      <c r="L162" s="1646"/>
      <c r="M162" s="1646"/>
      <c r="N162" s="1638"/>
      <c r="O162" s="1638"/>
      <c r="P162" s="1666"/>
      <c r="Q162" s="368"/>
      <c r="R162" s="368"/>
    </row>
    <row r="163" spans="1:18" ht="41.5" customHeight="1">
      <c r="A163" s="1765"/>
      <c r="B163" s="1836">
        <f>SUM(B161:B161)</f>
        <v>0</v>
      </c>
      <c r="C163" s="1839">
        <f>SUM(C161:C161)</f>
        <v>188711925</v>
      </c>
      <c r="D163" s="727" t="s">
        <v>1321</v>
      </c>
      <c r="E163" s="1207">
        <f>E161</f>
        <v>2.2000000000000002</v>
      </c>
      <c r="F163" s="1207">
        <f t="shared" ref="F163:G163" si="67">F161</f>
        <v>2.2000000000000002</v>
      </c>
      <c r="G163" s="1207">
        <f t="shared" si="67"/>
        <v>1.21</v>
      </c>
      <c r="H163" s="1221">
        <f>G163/F163</f>
        <v>0.54999999999999993</v>
      </c>
      <c r="I163" s="701">
        <f t="shared" ref="I163" si="68">I161</f>
        <v>0</v>
      </c>
      <c r="J163" s="1702"/>
      <c r="K163" s="1708"/>
      <c r="L163" s="1646"/>
      <c r="M163" s="1646"/>
      <c r="N163" s="1639"/>
      <c r="O163" s="1639"/>
      <c r="P163" s="1671"/>
      <c r="Q163" s="368"/>
      <c r="R163" s="368"/>
    </row>
    <row r="164" spans="1:18" ht="34.200000000000003" customHeight="1">
      <c r="A164" s="1816" t="s">
        <v>2060</v>
      </c>
      <c r="B164" s="1691" t="s">
        <v>1448</v>
      </c>
      <c r="C164" s="1696" t="s">
        <v>1325</v>
      </c>
      <c r="D164" s="761" t="s">
        <v>668</v>
      </c>
      <c r="E164" s="1220"/>
      <c r="F164" s="1220"/>
      <c r="G164" s="1220"/>
      <c r="H164" s="1220"/>
      <c r="I164" s="701"/>
      <c r="J164" s="1698" t="s">
        <v>2298</v>
      </c>
      <c r="K164" s="1640" t="s">
        <v>3672</v>
      </c>
      <c r="L164" s="1637" t="s">
        <v>1629</v>
      </c>
      <c r="M164" s="1637" t="s">
        <v>1614</v>
      </c>
      <c r="N164" s="1637" t="s">
        <v>1562</v>
      </c>
      <c r="O164" s="1637" t="s">
        <v>1921</v>
      </c>
      <c r="P164" s="1991" t="s">
        <v>3544</v>
      </c>
      <c r="Q164" s="368"/>
      <c r="R164" s="368"/>
    </row>
    <row r="165" spans="1:18" ht="29.5" customHeight="1">
      <c r="A165" s="1816"/>
      <c r="B165" s="1691"/>
      <c r="C165" s="1696"/>
      <c r="D165" s="761" t="s">
        <v>1549</v>
      </c>
      <c r="E165" s="701">
        <f>E169</f>
        <v>8</v>
      </c>
      <c r="F165" s="701">
        <f t="shared" ref="F165:G165" si="69">F169</f>
        <v>15.9</v>
      </c>
      <c r="G165" s="701">
        <f t="shared" si="69"/>
        <v>15.598000000000001</v>
      </c>
      <c r="H165" s="1043">
        <f>G165/F165</f>
        <v>0.98100628930817613</v>
      </c>
      <c r="I165" s="701">
        <f t="shared" ref="I165" si="70">I169</f>
        <v>16.55</v>
      </c>
      <c r="J165" s="1698"/>
      <c r="K165" s="1642"/>
      <c r="L165" s="1638"/>
      <c r="M165" s="1638"/>
      <c r="N165" s="1638"/>
      <c r="O165" s="1638"/>
      <c r="P165" s="1992"/>
      <c r="Q165" s="368"/>
      <c r="R165" s="368"/>
    </row>
    <row r="166" spans="1:18" ht="27.65" customHeight="1">
      <c r="A166" s="1816"/>
      <c r="B166" s="1691"/>
      <c r="C166" s="1696"/>
      <c r="D166" s="761" t="s">
        <v>1349</v>
      </c>
      <c r="E166" s="701">
        <f>SUM(E168,E170)</f>
        <v>62.895999999999994</v>
      </c>
      <c r="F166" s="701">
        <f t="shared" ref="F166:G166" si="71">SUM(F168,F170)</f>
        <v>194.46699999999998</v>
      </c>
      <c r="G166" s="701">
        <f t="shared" si="71"/>
        <v>194.279</v>
      </c>
      <c r="H166" s="1043">
        <f>G166/F166</f>
        <v>0.99903325499956297</v>
      </c>
      <c r="I166" s="701">
        <f>SUM(I168,I170)</f>
        <v>71.429000000000002</v>
      </c>
      <c r="J166" s="1698"/>
      <c r="K166" s="1642"/>
      <c r="L166" s="1638"/>
      <c r="M166" s="1638"/>
      <c r="N166" s="1638"/>
      <c r="O166" s="1638"/>
      <c r="P166" s="1992"/>
      <c r="Q166" s="368"/>
      <c r="R166" s="368"/>
    </row>
    <row r="167" spans="1:18" ht="27" customHeight="1">
      <c r="A167" s="1816"/>
      <c r="B167" s="1691">
        <f>SUM(B164:B164)</f>
        <v>0</v>
      </c>
      <c r="C167" s="1696">
        <f>SUM(C164:C164)</f>
        <v>0</v>
      </c>
      <c r="D167" s="1124" t="s">
        <v>1321</v>
      </c>
      <c r="E167" s="1262">
        <f>SUM(E164:E166)</f>
        <v>70.895999999999987</v>
      </c>
      <c r="F167" s="1262">
        <f t="shared" ref="F167:G167" si="72">SUM(F164:F166)</f>
        <v>210.36699999999999</v>
      </c>
      <c r="G167" s="1262">
        <f t="shared" si="72"/>
        <v>209.87700000000001</v>
      </c>
      <c r="H167" s="1045">
        <f>G167/F167</f>
        <v>0.99767073733047495</v>
      </c>
      <c r="I167" s="731">
        <f t="shared" ref="I167" si="73">SUM(I164:I166)</f>
        <v>87.978999999999999</v>
      </c>
      <c r="J167" s="1698"/>
      <c r="K167" s="1642"/>
      <c r="L167" s="1638"/>
      <c r="M167" s="1638"/>
      <c r="N167" s="1639"/>
      <c r="O167" s="1639"/>
      <c r="P167" s="1993"/>
      <c r="Q167" s="368"/>
      <c r="R167" s="368"/>
    </row>
    <row r="168" spans="1:18" ht="20.149999999999999" hidden="1" customHeight="1">
      <c r="A168" s="2027"/>
      <c r="B168" s="1779" t="s">
        <v>1589</v>
      </c>
      <c r="C168" s="878"/>
      <c r="D168" s="1273" t="s">
        <v>1349</v>
      </c>
      <c r="E168" s="537">
        <v>61.662999999999997</v>
      </c>
      <c r="F168" s="537">
        <v>190.654</v>
      </c>
      <c r="G168" s="537">
        <v>190.65</v>
      </c>
      <c r="H168" s="537"/>
      <c r="I168" s="537">
        <v>70.238</v>
      </c>
      <c r="J168" s="1274"/>
      <c r="K168" s="1642"/>
      <c r="L168" s="753"/>
      <c r="M168" s="616" t="s">
        <v>1775</v>
      </c>
      <c r="N168" s="616" t="s">
        <v>1921</v>
      </c>
      <c r="O168" s="483"/>
      <c r="P168" s="1187"/>
      <c r="Q168" s="368"/>
      <c r="R168" s="368"/>
    </row>
    <row r="169" spans="1:18" ht="20.149999999999999" hidden="1" customHeight="1">
      <c r="A169" s="2027"/>
      <c r="B169" s="1779"/>
      <c r="C169" s="878"/>
      <c r="D169" s="1273" t="s">
        <v>1549</v>
      </c>
      <c r="E169" s="537">
        <v>8</v>
      </c>
      <c r="F169" s="537">
        <v>15.9</v>
      </c>
      <c r="G169" s="537">
        <v>15.598000000000001</v>
      </c>
      <c r="H169" s="537"/>
      <c r="I169" s="537">
        <v>16.55</v>
      </c>
      <c r="J169" s="1274"/>
      <c r="K169" s="1642"/>
      <c r="L169" s="753"/>
      <c r="M169" s="483"/>
      <c r="N169" s="483"/>
      <c r="O169" s="483"/>
      <c r="P169" s="1187"/>
      <c r="Q169" s="368"/>
      <c r="R169" s="368"/>
    </row>
    <row r="170" spans="1:18" ht="24" hidden="1" customHeight="1">
      <c r="A170" s="613"/>
      <c r="B170" s="804" t="s">
        <v>1550</v>
      </c>
      <c r="C170" s="878"/>
      <c r="D170" s="1273" t="s">
        <v>1349</v>
      </c>
      <c r="E170" s="537">
        <v>1.2330000000000001</v>
      </c>
      <c r="F170" s="537">
        <v>3.8130000000000002</v>
      </c>
      <c r="G170" s="537">
        <v>3.629</v>
      </c>
      <c r="H170" s="537"/>
      <c r="I170" s="537">
        <v>1.1910000000000001</v>
      </c>
      <c r="J170" s="1275"/>
      <c r="K170" s="1641"/>
      <c r="L170" s="753"/>
      <c r="M170" s="483"/>
      <c r="N170" s="483"/>
      <c r="O170" s="483"/>
      <c r="P170" s="1187"/>
      <c r="Q170" s="368"/>
      <c r="R170" s="368"/>
    </row>
    <row r="171" spans="1:18" ht="36.65" customHeight="1">
      <c r="A171" s="1816" t="s">
        <v>2061</v>
      </c>
      <c r="B171" s="1691" t="s">
        <v>1449</v>
      </c>
      <c r="C171" s="1696">
        <v>188711925</v>
      </c>
      <c r="D171" s="758" t="s">
        <v>668</v>
      </c>
      <c r="E171" s="1204">
        <v>16.47</v>
      </c>
      <c r="F171" s="1204">
        <v>9.5419999999999998</v>
      </c>
      <c r="G171" s="1204">
        <v>8.3689999999999998</v>
      </c>
      <c r="H171" s="1219">
        <f>G171/F171</f>
        <v>0.8770697966883253</v>
      </c>
      <c r="I171" s="701">
        <v>13.86</v>
      </c>
      <c r="J171" s="2028" t="s">
        <v>2294</v>
      </c>
      <c r="K171" s="1640" t="s">
        <v>3673</v>
      </c>
      <c r="L171" s="1637" t="s">
        <v>1630</v>
      </c>
      <c r="M171" s="1637" t="s">
        <v>2783</v>
      </c>
      <c r="N171" s="1637" t="s">
        <v>1599</v>
      </c>
      <c r="O171" s="1637" t="s">
        <v>1781</v>
      </c>
      <c r="P171" s="1665" t="s">
        <v>3545</v>
      </c>
      <c r="Q171" s="368"/>
      <c r="R171" s="368"/>
    </row>
    <row r="172" spans="1:18" ht="19.2" customHeight="1">
      <c r="A172" s="1816"/>
      <c r="B172" s="1691"/>
      <c r="C172" s="1696"/>
      <c r="D172" s="708" t="s">
        <v>1349</v>
      </c>
      <c r="E172" s="1276">
        <v>41.034999999999997</v>
      </c>
      <c r="F172" s="1276">
        <v>21.373999999999999</v>
      </c>
      <c r="G172" s="1276">
        <v>20.86</v>
      </c>
      <c r="H172" s="1277">
        <f>G172/F172</f>
        <v>0.97595209132590999</v>
      </c>
      <c r="I172" s="798">
        <v>27.001000000000001</v>
      </c>
      <c r="J172" s="2041"/>
      <c r="K172" s="1642"/>
      <c r="L172" s="1638"/>
      <c r="M172" s="1638"/>
      <c r="N172" s="1638"/>
      <c r="O172" s="1638"/>
      <c r="P172" s="1666"/>
      <c r="Q172" s="368"/>
      <c r="R172" s="368"/>
    </row>
    <row r="173" spans="1:18" ht="24.75" customHeight="1">
      <c r="A173" s="1816"/>
      <c r="B173" s="1691"/>
      <c r="C173" s="1696">
        <f>SUM(C171:C171)</f>
        <v>188711925</v>
      </c>
      <c r="D173" s="1278" t="s">
        <v>1321</v>
      </c>
      <c r="E173" s="1207">
        <f>SUM(E171:E172)</f>
        <v>57.504999999999995</v>
      </c>
      <c r="F173" s="1207">
        <f t="shared" ref="F173:G173" si="74">SUM(F171:F172)</f>
        <v>30.915999999999997</v>
      </c>
      <c r="G173" s="1207">
        <f t="shared" si="74"/>
        <v>29.228999999999999</v>
      </c>
      <c r="H173" s="1221">
        <f>G173/F173</f>
        <v>0.94543278561262789</v>
      </c>
      <c r="I173" s="706">
        <f t="shared" ref="I173" si="75">SUM(I171:I172)</f>
        <v>40.861000000000004</v>
      </c>
      <c r="J173" s="2029"/>
      <c r="K173" s="1708"/>
      <c r="L173" s="1638"/>
      <c r="M173" s="1638"/>
      <c r="N173" s="1639"/>
      <c r="O173" s="1639"/>
      <c r="P173" s="1671"/>
      <c r="Q173" s="368"/>
      <c r="R173" s="368"/>
    </row>
    <row r="174" spans="1:18" ht="34.200000000000003" customHeight="1">
      <c r="A174" s="1816" t="s">
        <v>2583</v>
      </c>
      <c r="B174" s="1691" t="s">
        <v>1450</v>
      </c>
      <c r="C174" s="1696">
        <v>300079075</v>
      </c>
      <c r="D174" s="657" t="s">
        <v>341</v>
      </c>
      <c r="E174" s="1222">
        <v>135</v>
      </c>
      <c r="F174" s="1222">
        <v>133.328</v>
      </c>
      <c r="G174" s="1222">
        <v>120.328</v>
      </c>
      <c r="H174" s="1223">
        <f>G174/F174</f>
        <v>0.90249609984399382</v>
      </c>
      <c r="I174" s="701">
        <v>149.036</v>
      </c>
      <c r="J174" s="1701" t="s">
        <v>2270</v>
      </c>
      <c r="K174" s="1640" t="s">
        <v>3335</v>
      </c>
      <c r="L174" s="1637" t="s">
        <v>1631</v>
      </c>
      <c r="M174" s="1637" t="s">
        <v>1615</v>
      </c>
      <c r="N174" s="1637" t="s">
        <v>6</v>
      </c>
      <c r="O174" s="1637" t="s">
        <v>3033</v>
      </c>
      <c r="P174" s="1991" t="s">
        <v>3544</v>
      </c>
      <c r="Q174" s="368"/>
      <c r="R174" s="368"/>
    </row>
    <row r="175" spans="1:18" ht="34.950000000000003" hidden="1" customHeight="1">
      <c r="A175" s="1816"/>
      <c r="B175" s="1691"/>
      <c r="C175" s="1696"/>
      <c r="D175" s="657" t="s">
        <v>587</v>
      </c>
      <c r="E175" s="1222"/>
      <c r="F175" s="1222"/>
      <c r="G175" s="1222"/>
      <c r="H175" s="1223" t="e">
        <f t="shared" ref="H175:H176" si="76">G175/F175-1</f>
        <v>#DIV/0!</v>
      </c>
      <c r="I175" s="701">
        <v>27.905000000000001</v>
      </c>
      <c r="J175" s="1882"/>
      <c r="K175" s="1642"/>
      <c r="L175" s="1638"/>
      <c r="M175" s="1638"/>
      <c r="N175" s="1638"/>
      <c r="O175" s="1638"/>
      <c r="P175" s="1992"/>
      <c r="Q175" s="368"/>
      <c r="R175" s="368"/>
    </row>
    <row r="176" spans="1:18" ht="32.5" hidden="1" customHeight="1">
      <c r="A176" s="1816"/>
      <c r="B176" s="1691"/>
      <c r="C176" s="1696"/>
      <c r="D176" s="657" t="s">
        <v>668</v>
      </c>
      <c r="E176" s="1222"/>
      <c r="F176" s="1222"/>
      <c r="G176" s="1222"/>
      <c r="H176" s="1223" t="e">
        <f t="shared" si="76"/>
        <v>#DIV/0!</v>
      </c>
      <c r="I176" s="701"/>
      <c r="J176" s="1882"/>
      <c r="K176" s="1642"/>
      <c r="L176" s="1638"/>
      <c r="M176" s="1638"/>
      <c r="N176" s="1638"/>
      <c r="O176" s="1638"/>
      <c r="P176" s="1992"/>
      <c r="Q176" s="368"/>
      <c r="R176" s="368"/>
    </row>
    <row r="177" spans="1:18" ht="111" customHeight="1">
      <c r="A177" s="1816"/>
      <c r="B177" s="1692"/>
      <c r="C177" s="1696"/>
      <c r="D177" s="705" t="s">
        <v>1321</v>
      </c>
      <c r="E177" s="1207">
        <f>E174</f>
        <v>135</v>
      </c>
      <c r="F177" s="1207">
        <f t="shared" ref="F177:G177" si="77">F174</f>
        <v>133.328</v>
      </c>
      <c r="G177" s="1207">
        <f t="shared" si="77"/>
        <v>120.328</v>
      </c>
      <c r="H177" s="1221">
        <f>G177/F177</f>
        <v>0.90249609984399382</v>
      </c>
      <c r="I177" s="706">
        <f>I174+I175+I176</f>
        <v>176.941</v>
      </c>
      <c r="J177" s="1702"/>
      <c r="K177" s="1708"/>
      <c r="L177" s="1638"/>
      <c r="M177" s="1638"/>
      <c r="N177" s="1639"/>
      <c r="O177" s="1639"/>
      <c r="P177" s="1993"/>
      <c r="Q177" s="368"/>
      <c r="R177" s="368"/>
    </row>
    <row r="178" spans="1:18" ht="20.149999999999999" customHeight="1">
      <c r="A178" s="1816" t="s">
        <v>2062</v>
      </c>
      <c r="B178" s="1691" t="s">
        <v>1451</v>
      </c>
      <c r="C178" s="1696" t="s">
        <v>1325</v>
      </c>
      <c r="D178" s="758" t="s">
        <v>668</v>
      </c>
      <c r="E178" s="1279">
        <f>SUM(E182,E184)</f>
        <v>78.97399999999999</v>
      </c>
      <c r="F178" s="1279">
        <f t="shared" ref="F178:G178" si="78">SUM(F182,F184)</f>
        <v>74.460999999999999</v>
      </c>
      <c r="G178" s="1279">
        <f t="shared" si="78"/>
        <v>70.225999999999999</v>
      </c>
      <c r="H178" s="1280">
        <f>G178/F178</f>
        <v>0.94312458871086879</v>
      </c>
      <c r="I178" s="760">
        <f>SUM(I182,I184)</f>
        <v>74.599999999999994</v>
      </c>
      <c r="J178" s="1698" t="s">
        <v>2264</v>
      </c>
      <c r="K178" s="1640" t="s">
        <v>1770</v>
      </c>
      <c r="L178" s="1637" t="s">
        <v>1632</v>
      </c>
      <c r="M178" s="1637" t="s">
        <v>2784</v>
      </c>
      <c r="N178" s="1637" t="s">
        <v>449</v>
      </c>
      <c r="O178" s="1637" t="s">
        <v>3476</v>
      </c>
      <c r="P178" s="1665" t="s">
        <v>3544</v>
      </c>
      <c r="Q178" s="368"/>
      <c r="R178" s="368"/>
    </row>
    <row r="179" spans="1:18" ht="20.149999999999999" customHeight="1">
      <c r="A179" s="1816"/>
      <c r="B179" s="1691"/>
      <c r="C179" s="1696"/>
      <c r="D179" s="761" t="s">
        <v>1349</v>
      </c>
      <c r="E179" s="1222">
        <f>SUM(E183,E185,E186)</f>
        <v>24.200000000000003</v>
      </c>
      <c r="F179" s="1222">
        <f t="shared" ref="F179:G179" si="79">SUM(F183,F185,F186)</f>
        <v>30.018000000000001</v>
      </c>
      <c r="G179" s="1222">
        <f t="shared" si="79"/>
        <v>30.019000000000002</v>
      </c>
      <c r="H179" s="1224">
        <f>G179/F179</f>
        <v>1.0000333133453261</v>
      </c>
      <c r="I179" s="701">
        <f t="shared" ref="I179" si="80">SUM(I183,I185,I186)</f>
        <v>22.799999999999997</v>
      </c>
      <c r="J179" s="1698"/>
      <c r="K179" s="1642"/>
      <c r="L179" s="1638"/>
      <c r="M179" s="1638"/>
      <c r="N179" s="1638"/>
      <c r="O179" s="1638"/>
      <c r="P179" s="1666"/>
      <c r="Q179" s="368"/>
      <c r="R179" s="368"/>
    </row>
    <row r="180" spans="1:18" ht="20.149999999999999" customHeight="1">
      <c r="A180" s="1816"/>
      <c r="B180" s="1691"/>
      <c r="C180" s="1696"/>
      <c r="D180" s="761" t="s">
        <v>587</v>
      </c>
      <c r="E180" s="820"/>
      <c r="F180" s="820"/>
      <c r="G180" s="820"/>
      <c r="H180" s="1281"/>
      <c r="I180" s="643"/>
      <c r="J180" s="1698"/>
      <c r="K180" s="1642"/>
      <c r="L180" s="1638"/>
      <c r="M180" s="1638"/>
      <c r="N180" s="1638"/>
      <c r="O180" s="1638"/>
      <c r="P180" s="1666"/>
      <c r="Q180" s="368"/>
      <c r="R180" s="368"/>
    </row>
    <row r="181" spans="1:18" ht="20.149999999999999" customHeight="1">
      <c r="A181" s="1816"/>
      <c r="B181" s="1691"/>
      <c r="C181" s="1696"/>
      <c r="D181" s="778" t="s">
        <v>1321</v>
      </c>
      <c r="E181" s="1207">
        <f>SUM(E178:E180)</f>
        <v>103.17399999999999</v>
      </c>
      <c r="F181" s="1207">
        <f t="shared" ref="F181:G181" si="81">SUM(F178:F180)</f>
        <v>104.479</v>
      </c>
      <c r="G181" s="1207">
        <f t="shared" si="81"/>
        <v>100.245</v>
      </c>
      <c r="H181" s="1233">
        <f>G181/F181</f>
        <v>0.95947510983068374</v>
      </c>
      <c r="I181" s="706">
        <f t="shared" ref="I181" si="82">SUM(I178:I180)</f>
        <v>97.399999999999991</v>
      </c>
      <c r="J181" s="1698"/>
      <c r="K181" s="1642"/>
      <c r="L181" s="1639"/>
      <c r="M181" s="1638"/>
      <c r="N181" s="1639"/>
      <c r="O181" s="1639"/>
      <c r="P181" s="1671"/>
      <c r="Q181" s="368"/>
      <c r="R181" s="368"/>
    </row>
    <row r="182" spans="1:18" ht="21" hidden="1" customHeight="1">
      <c r="A182" s="1094"/>
      <c r="B182" s="2035" t="s">
        <v>485</v>
      </c>
      <c r="C182" s="2037"/>
      <c r="D182" s="717" t="s">
        <v>668</v>
      </c>
      <c r="E182" s="537">
        <v>31.905999999999999</v>
      </c>
      <c r="F182" s="537">
        <v>28.381</v>
      </c>
      <c r="G182" s="537">
        <v>25.905000000000001</v>
      </c>
      <c r="H182" s="537"/>
      <c r="I182" s="537">
        <v>27</v>
      </c>
      <c r="J182" s="1211"/>
      <c r="K182" s="1517"/>
      <c r="L182" s="616"/>
      <c r="M182" s="616" t="s">
        <v>1774</v>
      </c>
      <c r="N182" s="616"/>
      <c r="O182" s="616" t="s">
        <v>2982</v>
      </c>
      <c r="P182" s="1187"/>
      <c r="Q182" s="368"/>
      <c r="R182" s="368"/>
    </row>
    <row r="183" spans="1:18" ht="20.149999999999999" hidden="1" customHeight="1">
      <c r="A183" s="1094"/>
      <c r="B183" s="2036"/>
      <c r="C183" s="2038"/>
      <c r="D183" s="717" t="s">
        <v>1349</v>
      </c>
      <c r="E183" s="537">
        <v>7.9</v>
      </c>
      <c r="F183" s="537">
        <v>10.959</v>
      </c>
      <c r="G183" s="537">
        <v>10.96</v>
      </c>
      <c r="H183" s="537"/>
      <c r="I183" s="537">
        <v>7.4660000000000002</v>
      </c>
      <c r="J183" s="1211"/>
      <c r="K183" s="1517"/>
      <c r="L183" s="616"/>
      <c r="M183" s="616" t="s">
        <v>3475</v>
      </c>
      <c r="N183" s="616"/>
      <c r="O183" s="616" t="s">
        <v>2387</v>
      </c>
      <c r="P183" s="1187"/>
      <c r="Q183" s="368"/>
      <c r="R183" s="368"/>
    </row>
    <row r="184" spans="1:18" ht="20.149999999999999" hidden="1" customHeight="1">
      <c r="A184" s="1094"/>
      <c r="B184" s="2039" t="s">
        <v>1585</v>
      </c>
      <c r="C184" s="2040"/>
      <c r="D184" s="717" t="s">
        <v>668</v>
      </c>
      <c r="E184" s="537">
        <v>47.067999999999998</v>
      </c>
      <c r="F184" s="537">
        <v>46.08</v>
      </c>
      <c r="G184" s="537">
        <v>44.320999999999998</v>
      </c>
      <c r="H184" s="537"/>
      <c r="I184" s="537">
        <v>47.6</v>
      </c>
      <c r="J184" s="1211"/>
      <c r="K184" s="1517"/>
      <c r="L184" s="616"/>
      <c r="M184" s="616"/>
      <c r="N184" s="616"/>
      <c r="O184" s="616"/>
      <c r="P184" s="1187"/>
      <c r="Q184" s="368"/>
      <c r="R184" s="368"/>
    </row>
    <row r="185" spans="1:18" ht="20.149999999999999" hidden="1" customHeight="1">
      <c r="A185" s="1094"/>
      <c r="B185" s="2036"/>
      <c r="C185" s="2038"/>
      <c r="D185" s="717" t="s">
        <v>1349</v>
      </c>
      <c r="E185" s="537">
        <v>15.8</v>
      </c>
      <c r="F185" s="537">
        <v>18.559000000000001</v>
      </c>
      <c r="G185" s="537">
        <v>18.559000000000001</v>
      </c>
      <c r="H185" s="537"/>
      <c r="I185" s="537">
        <v>14.933999999999999</v>
      </c>
      <c r="J185" s="1211"/>
      <c r="K185" s="1517"/>
      <c r="L185" s="616"/>
      <c r="M185" s="616"/>
      <c r="N185" s="616"/>
      <c r="O185" s="616"/>
      <c r="P185" s="1187"/>
      <c r="Q185" s="368"/>
      <c r="R185" s="368"/>
    </row>
    <row r="186" spans="1:18" ht="20.149999999999999" hidden="1" customHeight="1">
      <c r="A186" s="1094"/>
      <c r="B186" s="1226" t="s">
        <v>1586</v>
      </c>
      <c r="C186" s="976"/>
      <c r="D186" s="717" t="s">
        <v>1349</v>
      </c>
      <c r="E186" s="537">
        <v>0.5</v>
      </c>
      <c r="F186" s="537">
        <v>0.5</v>
      </c>
      <c r="G186" s="537">
        <v>0.5</v>
      </c>
      <c r="H186" s="537"/>
      <c r="I186" s="537">
        <v>0.4</v>
      </c>
      <c r="J186" s="1211"/>
      <c r="K186" s="1517"/>
      <c r="L186" s="616"/>
      <c r="M186" s="616"/>
      <c r="N186" s="616"/>
      <c r="O186" s="616"/>
      <c r="P186" s="1187"/>
      <c r="Q186" s="368"/>
      <c r="R186" s="368"/>
    </row>
    <row r="187" spans="1:18" ht="34.200000000000003" customHeight="1">
      <c r="A187" s="1765" t="s">
        <v>2063</v>
      </c>
      <c r="B187" s="1691" t="s">
        <v>2785</v>
      </c>
      <c r="C187" s="1696">
        <v>188711925</v>
      </c>
      <c r="D187" s="758" t="s">
        <v>668</v>
      </c>
      <c r="E187" s="1204">
        <v>100</v>
      </c>
      <c r="F187" s="1204">
        <v>85.772000000000006</v>
      </c>
      <c r="G187" s="1204">
        <v>0</v>
      </c>
      <c r="H187" s="1219">
        <f>G187/F187</f>
        <v>0</v>
      </c>
      <c r="I187" s="734"/>
      <c r="J187" s="1698" t="s">
        <v>2264</v>
      </c>
      <c r="K187" s="1640" t="s">
        <v>3587</v>
      </c>
      <c r="L187" s="1637" t="s">
        <v>1633</v>
      </c>
      <c r="M187" s="1637" t="s">
        <v>1616</v>
      </c>
      <c r="N187" s="1637" t="s">
        <v>613</v>
      </c>
      <c r="O187" s="1637" t="s">
        <v>613</v>
      </c>
      <c r="P187" s="1665" t="s">
        <v>3557</v>
      </c>
      <c r="Q187" s="368"/>
      <c r="R187" s="368"/>
    </row>
    <row r="188" spans="1:18" ht="19.95" customHeight="1">
      <c r="A188" s="1766"/>
      <c r="B188" s="1691"/>
      <c r="C188" s="1696"/>
      <c r="D188" s="758" t="s">
        <v>341</v>
      </c>
      <c r="E188" s="1204">
        <v>300</v>
      </c>
      <c r="F188" s="1204">
        <v>0</v>
      </c>
      <c r="G188" s="1204">
        <v>0</v>
      </c>
      <c r="H188" s="1219"/>
      <c r="I188" s="734"/>
      <c r="J188" s="1698"/>
      <c r="K188" s="1642"/>
      <c r="L188" s="1638"/>
      <c r="M188" s="1638"/>
      <c r="N188" s="1638"/>
      <c r="O188" s="1638"/>
      <c r="P188" s="1666"/>
      <c r="Q188" s="368"/>
      <c r="R188" s="368"/>
    </row>
    <row r="189" spans="1:18" ht="24" customHeight="1">
      <c r="A189" s="1767"/>
      <c r="B189" s="1691"/>
      <c r="C189" s="1696"/>
      <c r="D189" s="778" t="s">
        <v>1321</v>
      </c>
      <c r="E189" s="1207">
        <f>SUM(E187:E188)</f>
        <v>400</v>
      </c>
      <c r="F189" s="1207">
        <f t="shared" ref="F189:G189" si="83">SUM(F187:F188)</f>
        <v>85.772000000000006</v>
      </c>
      <c r="G189" s="1207">
        <f t="shared" si="83"/>
        <v>0</v>
      </c>
      <c r="H189" s="1221">
        <f>G189/F189</f>
        <v>0</v>
      </c>
      <c r="I189" s="706"/>
      <c r="J189" s="1698"/>
      <c r="K189" s="1708"/>
      <c r="L189" s="1638"/>
      <c r="M189" s="1638"/>
      <c r="N189" s="1639"/>
      <c r="O189" s="1639"/>
      <c r="P189" s="1671"/>
      <c r="Q189" s="368"/>
      <c r="R189" s="368"/>
    </row>
    <row r="190" spans="1:18" ht="41.5" customHeight="1">
      <c r="A190" s="1803" t="s">
        <v>2064</v>
      </c>
      <c r="B190" s="1824" t="s">
        <v>2786</v>
      </c>
      <c r="C190" s="1826">
        <v>300079075</v>
      </c>
      <c r="D190" s="724" t="s">
        <v>668</v>
      </c>
      <c r="E190" s="1222">
        <v>39.22</v>
      </c>
      <c r="F190" s="1222">
        <v>39.22</v>
      </c>
      <c r="G190" s="1222">
        <v>3.6970000000000001</v>
      </c>
      <c r="H190" s="1224">
        <f>G190/F190</f>
        <v>9.4263131055583885E-2</v>
      </c>
      <c r="I190" s="701">
        <v>23.904</v>
      </c>
      <c r="J190" s="1698" t="s">
        <v>2266</v>
      </c>
      <c r="K190" s="1640" t="s">
        <v>3336</v>
      </c>
      <c r="L190" s="1637" t="s">
        <v>1634</v>
      </c>
      <c r="M190" s="1637" t="s">
        <v>1617</v>
      </c>
      <c r="N190" s="1637" t="s">
        <v>469</v>
      </c>
      <c r="O190" s="1637" t="s">
        <v>469</v>
      </c>
      <c r="P190" s="1991" t="s">
        <v>3544</v>
      </c>
      <c r="Q190" s="368"/>
      <c r="R190" s="368"/>
    </row>
    <row r="191" spans="1:18" ht="34.950000000000003" customHeight="1">
      <c r="A191" s="1803"/>
      <c r="B191" s="1791"/>
      <c r="C191" s="1826"/>
      <c r="D191" s="724" t="s">
        <v>1554</v>
      </c>
      <c r="E191" s="1222">
        <v>100</v>
      </c>
      <c r="F191" s="1222">
        <v>0</v>
      </c>
      <c r="G191" s="1222">
        <v>0</v>
      </c>
      <c r="H191" s="1224"/>
      <c r="I191" s="701">
        <v>100</v>
      </c>
      <c r="J191" s="1698"/>
      <c r="K191" s="1709"/>
      <c r="L191" s="1638"/>
      <c r="M191" s="1638"/>
      <c r="N191" s="1638"/>
      <c r="O191" s="1638"/>
      <c r="P191" s="1992"/>
      <c r="Q191" s="368"/>
      <c r="R191" s="368"/>
    </row>
    <row r="192" spans="1:18" ht="31.5" customHeight="1">
      <c r="A192" s="1803"/>
      <c r="B192" s="1791"/>
      <c r="C192" s="1826"/>
      <c r="D192" s="727" t="s">
        <v>1321</v>
      </c>
      <c r="E192" s="1207">
        <f>SUM(E190:E191)</f>
        <v>139.22</v>
      </c>
      <c r="F192" s="1207">
        <f t="shared" ref="F192:G192" si="84">SUM(F190:F191)</f>
        <v>39.22</v>
      </c>
      <c r="G192" s="1207">
        <f t="shared" si="84"/>
        <v>3.6970000000000001</v>
      </c>
      <c r="H192" s="1233">
        <f>G192/F192</f>
        <v>9.4263131055583885E-2</v>
      </c>
      <c r="I192" s="706">
        <f t="shared" ref="I192" si="85">SUM(I190:I191)</f>
        <v>123.904</v>
      </c>
      <c r="J192" s="1698"/>
      <c r="K192" s="1708"/>
      <c r="L192" s="1639"/>
      <c r="M192" s="1638"/>
      <c r="N192" s="1639"/>
      <c r="O192" s="1639"/>
      <c r="P192" s="1993"/>
      <c r="Q192" s="368"/>
      <c r="R192" s="368"/>
    </row>
    <row r="193" spans="1:18" ht="30.75" hidden="1" customHeight="1">
      <c r="A193" s="1803" t="s">
        <v>2532</v>
      </c>
      <c r="B193" s="1791" t="s">
        <v>2787</v>
      </c>
      <c r="C193" s="1826">
        <v>188711925</v>
      </c>
      <c r="D193" s="724" t="s">
        <v>2873</v>
      </c>
      <c r="E193" s="1220"/>
      <c r="F193" s="1220"/>
      <c r="G193" s="1220"/>
      <c r="H193" s="1220"/>
      <c r="I193" s="701">
        <v>10</v>
      </c>
      <c r="J193" s="1698" t="s">
        <v>2266</v>
      </c>
      <c r="K193" s="1640" t="s">
        <v>2534</v>
      </c>
      <c r="L193" s="1637" t="s">
        <v>1635</v>
      </c>
      <c r="M193" s="638" t="s">
        <v>1618</v>
      </c>
      <c r="N193" s="638"/>
      <c r="O193" s="638"/>
      <c r="P193" s="1189"/>
      <c r="Q193" s="368"/>
      <c r="R193" s="368"/>
    </row>
    <row r="194" spans="1:18" ht="57.65" hidden="1" customHeight="1">
      <c r="A194" s="1803"/>
      <c r="B194" s="1791"/>
      <c r="C194" s="1826"/>
      <c r="D194" s="724" t="s">
        <v>341</v>
      </c>
      <c r="E194" s="1220"/>
      <c r="F194" s="1220"/>
      <c r="G194" s="1220"/>
      <c r="H194" s="1220"/>
      <c r="I194" s="701"/>
      <c r="J194" s="1698"/>
      <c r="K194" s="1709"/>
      <c r="L194" s="1638"/>
      <c r="M194" s="638" t="s">
        <v>2533</v>
      </c>
      <c r="N194" s="638"/>
      <c r="O194" s="638"/>
      <c r="P194" s="1189"/>
      <c r="Q194" s="368"/>
      <c r="R194" s="368"/>
    </row>
    <row r="195" spans="1:18" ht="57.65" hidden="1" customHeight="1">
      <c r="A195" s="1803"/>
      <c r="B195" s="1791"/>
      <c r="C195" s="1826"/>
      <c r="D195" s="727" t="s">
        <v>1321</v>
      </c>
      <c r="E195" s="1225">
        <f>E193</f>
        <v>0</v>
      </c>
      <c r="F195" s="1225"/>
      <c r="G195" s="1225"/>
      <c r="H195" s="1225"/>
      <c r="I195" s="706">
        <f t="shared" ref="I195" si="86">I193</f>
        <v>10</v>
      </c>
      <c r="J195" s="1698"/>
      <c r="K195" s="1708"/>
      <c r="L195" s="1639"/>
      <c r="M195" s="638" t="s">
        <v>2789</v>
      </c>
      <c r="N195" s="638"/>
      <c r="O195" s="638"/>
      <c r="P195" s="1189"/>
      <c r="Q195" s="368"/>
      <c r="R195" s="368"/>
    </row>
    <row r="196" spans="1:18" ht="37.5" customHeight="1">
      <c r="A196" s="1803" t="s">
        <v>2065</v>
      </c>
      <c r="B196" s="1791" t="s">
        <v>1452</v>
      </c>
      <c r="C196" s="1826">
        <v>188711925</v>
      </c>
      <c r="D196" s="724" t="s">
        <v>668</v>
      </c>
      <c r="E196" s="1222">
        <v>7</v>
      </c>
      <c r="F196" s="1222">
        <v>7</v>
      </c>
      <c r="G196" s="1222">
        <v>7</v>
      </c>
      <c r="H196" s="1282">
        <f t="shared" ref="H196:H202" si="87">G196/F196</f>
        <v>1</v>
      </c>
      <c r="I196" s="701">
        <v>10</v>
      </c>
      <c r="J196" s="1701" t="s">
        <v>2267</v>
      </c>
      <c r="K196" s="1640" t="s">
        <v>3674</v>
      </c>
      <c r="L196" s="1637" t="s">
        <v>1636</v>
      </c>
      <c r="M196" s="1637" t="s">
        <v>2268</v>
      </c>
      <c r="N196" s="1637" t="s">
        <v>469</v>
      </c>
      <c r="O196" s="1637" t="s">
        <v>469</v>
      </c>
      <c r="P196" s="1665" t="s">
        <v>3544</v>
      </c>
      <c r="Q196" s="368"/>
      <c r="R196" s="368"/>
    </row>
    <row r="197" spans="1:18" ht="25.95" customHeight="1">
      <c r="A197" s="1803"/>
      <c r="B197" s="1791"/>
      <c r="C197" s="1826"/>
      <c r="D197" s="727" t="s">
        <v>1321</v>
      </c>
      <c r="E197" s="1207">
        <f>E196</f>
        <v>7</v>
      </c>
      <c r="F197" s="1207">
        <f t="shared" ref="F197:G197" si="88">F196</f>
        <v>7</v>
      </c>
      <c r="G197" s="1207">
        <f t="shared" si="88"/>
        <v>7</v>
      </c>
      <c r="H197" s="1257">
        <f t="shared" si="87"/>
        <v>1</v>
      </c>
      <c r="I197" s="706">
        <f t="shared" ref="I197" si="89">I196</f>
        <v>10</v>
      </c>
      <c r="J197" s="1702"/>
      <c r="K197" s="1708"/>
      <c r="L197" s="1638"/>
      <c r="M197" s="1638"/>
      <c r="N197" s="1639"/>
      <c r="O197" s="1639"/>
      <c r="P197" s="1671"/>
      <c r="Q197" s="368"/>
      <c r="R197" s="368"/>
    </row>
    <row r="198" spans="1:18" ht="29.25" customHeight="1">
      <c r="A198" s="1816" t="s">
        <v>2066</v>
      </c>
      <c r="B198" s="1691" t="s">
        <v>2790</v>
      </c>
      <c r="C198" s="1696">
        <v>188711925</v>
      </c>
      <c r="D198" s="657" t="s">
        <v>668</v>
      </c>
      <c r="E198" s="1222">
        <v>7.9480000000000004</v>
      </c>
      <c r="F198" s="1222">
        <v>7.9480000000000004</v>
      </c>
      <c r="G198" s="1222">
        <v>2.1920000000000002</v>
      </c>
      <c r="H198" s="1224">
        <f t="shared" si="87"/>
        <v>0.27579265223955712</v>
      </c>
      <c r="I198" s="701"/>
      <c r="J198" s="1701" t="s">
        <v>2266</v>
      </c>
      <c r="K198" s="1640" t="s">
        <v>3477</v>
      </c>
      <c r="L198" s="1637" t="s">
        <v>1637</v>
      </c>
      <c r="M198" s="1637" t="s">
        <v>3034</v>
      </c>
      <c r="N198" s="1637" t="s">
        <v>469</v>
      </c>
      <c r="O198" s="1637" t="s">
        <v>469</v>
      </c>
      <c r="P198" s="1665" t="s">
        <v>3544</v>
      </c>
      <c r="Q198" s="368"/>
      <c r="R198" s="368"/>
    </row>
    <row r="199" spans="1:18" ht="28.5" customHeight="1">
      <c r="A199" s="1816"/>
      <c r="B199" s="1691"/>
      <c r="C199" s="1696"/>
      <c r="D199" s="657" t="s">
        <v>341</v>
      </c>
      <c r="E199" s="1260"/>
      <c r="F199" s="1260">
        <v>8.109</v>
      </c>
      <c r="G199" s="1260">
        <v>8.109</v>
      </c>
      <c r="H199" s="1224">
        <f t="shared" si="87"/>
        <v>1</v>
      </c>
      <c r="I199" s="798"/>
      <c r="J199" s="1882"/>
      <c r="K199" s="1709"/>
      <c r="L199" s="1638"/>
      <c r="M199" s="1638"/>
      <c r="N199" s="1638"/>
      <c r="O199" s="1638"/>
      <c r="P199" s="1666"/>
      <c r="Q199" s="368"/>
      <c r="R199" s="368"/>
    </row>
    <row r="200" spans="1:18" ht="34.200000000000003" customHeight="1">
      <c r="A200" s="1816"/>
      <c r="B200" s="1691"/>
      <c r="C200" s="1696"/>
      <c r="D200" s="705" t="s">
        <v>1321</v>
      </c>
      <c r="E200" s="1207">
        <f>E198</f>
        <v>7.9480000000000004</v>
      </c>
      <c r="F200" s="1207">
        <f>F198+F199</f>
        <v>16.057000000000002</v>
      </c>
      <c r="G200" s="1207">
        <f>G198+G199</f>
        <v>10.301</v>
      </c>
      <c r="H200" s="1233">
        <f t="shared" si="87"/>
        <v>0.64152705984928682</v>
      </c>
      <c r="I200" s="706"/>
      <c r="J200" s="1882"/>
      <c r="K200" s="1708"/>
      <c r="L200" s="1639"/>
      <c r="M200" s="1639"/>
      <c r="N200" s="1639"/>
      <c r="O200" s="1639"/>
      <c r="P200" s="1671"/>
      <c r="Q200" s="368"/>
      <c r="R200" s="368"/>
    </row>
    <row r="201" spans="1:18" ht="45.65" customHeight="1">
      <c r="A201" s="1816" t="s">
        <v>2528</v>
      </c>
      <c r="B201" s="1736" t="s">
        <v>2607</v>
      </c>
      <c r="C201" s="1696">
        <v>190230824</v>
      </c>
      <c r="D201" s="657" t="s">
        <v>66</v>
      </c>
      <c r="E201" s="1204">
        <v>44.2</v>
      </c>
      <c r="F201" s="1204">
        <v>52.350999999999999</v>
      </c>
      <c r="G201" s="1204">
        <v>51.904000000000003</v>
      </c>
      <c r="H201" s="1219">
        <f t="shared" si="87"/>
        <v>0.99146148115604293</v>
      </c>
      <c r="I201" s="734">
        <v>80.959999999999994</v>
      </c>
      <c r="J201" s="1882"/>
      <c r="K201" s="1640" t="s">
        <v>3588</v>
      </c>
      <c r="L201" s="1637" t="s">
        <v>1638</v>
      </c>
      <c r="M201" s="1637" t="s">
        <v>1619</v>
      </c>
      <c r="N201" s="1637" t="s">
        <v>1606</v>
      </c>
      <c r="O201" s="1637" t="s">
        <v>3037</v>
      </c>
      <c r="P201" s="1991" t="s">
        <v>3545</v>
      </c>
      <c r="Q201" s="368"/>
      <c r="R201" s="368"/>
    </row>
    <row r="202" spans="1:18" ht="33" customHeight="1">
      <c r="A202" s="1816"/>
      <c r="B202" s="1736"/>
      <c r="C202" s="1696"/>
      <c r="D202" s="657" t="s">
        <v>341</v>
      </c>
      <c r="E202" s="1220"/>
      <c r="F202" s="1222">
        <v>22.934000000000001</v>
      </c>
      <c r="G202" s="1222">
        <v>22.934000000000001</v>
      </c>
      <c r="H202" s="1283">
        <f t="shared" si="87"/>
        <v>1</v>
      </c>
      <c r="I202" s="701">
        <v>25.2</v>
      </c>
      <c r="J202" s="1882"/>
      <c r="K202" s="1709"/>
      <c r="L202" s="1638"/>
      <c r="M202" s="1638"/>
      <c r="N202" s="1638"/>
      <c r="O202" s="1638"/>
      <c r="P202" s="1992"/>
      <c r="Q202" s="368"/>
      <c r="R202" s="368"/>
    </row>
    <row r="203" spans="1:18" ht="32.5" hidden="1" customHeight="1">
      <c r="A203" s="1816"/>
      <c r="B203" s="1736"/>
      <c r="C203" s="1696"/>
      <c r="D203" s="657" t="s">
        <v>587</v>
      </c>
      <c r="E203" s="1220"/>
      <c r="F203" s="1220"/>
      <c r="G203" s="1220"/>
      <c r="H203" s="1284"/>
      <c r="I203" s="701">
        <v>4.3899999999999997</v>
      </c>
      <c r="J203" s="1882"/>
      <c r="K203" s="1709"/>
      <c r="L203" s="1638"/>
      <c r="M203" s="1638"/>
      <c r="N203" s="1638"/>
      <c r="O203" s="1638"/>
      <c r="P203" s="1992"/>
      <c r="Q203" s="368"/>
      <c r="R203" s="368"/>
    </row>
    <row r="204" spans="1:18" ht="112.2" customHeight="1">
      <c r="A204" s="1816"/>
      <c r="B204" s="1736"/>
      <c r="C204" s="1696"/>
      <c r="D204" s="705" t="s">
        <v>1321</v>
      </c>
      <c r="E204" s="1207">
        <f>E201</f>
        <v>44.2</v>
      </c>
      <c r="F204" s="1207">
        <f>F201+F202</f>
        <v>75.284999999999997</v>
      </c>
      <c r="G204" s="1207">
        <f>G201+G202</f>
        <v>74.838000000000008</v>
      </c>
      <c r="H204" s="1221">
        <f>G204/F204</f>
        <v>0.99406256226339929</v>
      </c>
      <c r="I204" s="706">
        <f>SUM(I201:I203)</f>
        <v>110.55</v>
      </c>
      <c r="J204" s="1882"/>
      <c r="K204" s="1708"/>
      <c r="L204" s="1639"/>
      <c r="M204" s="1639"/>
      <c r="N204" s="1639"/>
      <c r="O204" s="1639"/>
      <c r="P204" s="1993"/>
      <c r="Q204" s="368"/>
      <c r="R204" s="368"/>
    </row>
    <row r="205" spans="1:18" ht="69.650000000000006" hidden="1" customHeight="1">
      <c r="A205" s="1803" t="s">
        <v>2529</v>
      </c>
      <c r="B205" s="2033" t="s">
        <v>2788</v>
      </c>
      <c r="C205" s="1828">
        <v>188711925</v>
      </c>
      <c r="D205" s="923" t="s">
        <v>2751</v>
      </c>
      <c r="E205" s="1220"/>
      <c r="F205" s="1220"/>
      <c r="G205" s="1220"/>
      <c r="H205" s="1220"/>
      <c r="I205" s="1285">
        <v>53</v>
      </c>
      <c r="J205" s="1882"/>
      <c r="K205" s="1640" t="s">
        <v>1783</v>
      </c>
      <c r="L205" s="1637" t="s">
        <v>1639</v>
      </c>
      <c r="M205" s="1646" t="s">
        <v>1780</v>
      </c>
      <c r="N205" s="638"/>
      <c r="O205" s="638"/>
      <c r="P205" s="1189"/>
      <c r="Q205" s="368"/>
      <c r="R205" s="368"/>
    </row>
    <row r="206" spans="1:18" ht="27" hidden="1" customHeight="1">
      <c r="A206" s="1803"/>
      <c r="B206" s="2033"/>
      <c r="C206" s="1828"/>
      <c r="D206" s="923" t="s">
        <v>341</v>
      </c>
      <c r="E206" s="1220"/>
      <c r="F206" s="1220"/>
      <c r="G206" s="1220"/>
      <c r="H206" s="1220"/>
      <c r="I206" s="1285">
        <v>187</v>
      </c>
      <c r="J206" s="1882"/>
      <c r="K206" s="1709"/>
      <c r="L206" s="1638"/>
      <c r="M206" s="1646"/>
      <c r="N206" s="638"/>
      <c r="O206" s="638"/>
      <c r="P206" s="1189"/>
      <c r="Q206" s="368"/>
      <c r="R206" s="368"/>
    </row>
    <row r="207" spans="1:18" ht="96.75" hidden="1" customHeight="1">
      <c r="A207" s="1803"/>
      <c r="B207" s="2034"/>
      <c r="C207" s="1826"/>
      <c r="D207" s="727" t="s">
        <v>1321</v>
      </c>
      <c r="E207" s="1286">
        <v>0</v>
      </c>
      <c r="F207" s="1286"/>
      <c r="G207" s="1286"/>
      <c r="H207" s="1286"/>
      <c r="I207" s="905">
        <f t="shared" ref="I207" si="90">SUM(I205:I206)</f>
        <v>240</v>
      </c>
      <c r="J207" s="1882"/>
      <c r="K207" s="1708"/>
      <c r="L207" s="1639"/>
      <c r="M207" s="638" t="s">
        <v>1782</v>
      </c>
      <c r="N207" s="638"/>
      <c r="O207" s="638"/>
      <c r="P207" s="1189"/>
      <c r="Q207" s="368"/>
      <c r="R207" s="368"/>
    </row>
    <row r="208" spans="1:18" ht="56.5" hidden="1" customHeight="1">
      <c r="A208" s="1803" t="s">
        <v>2530</v>
      </c>
      <c r="B208" s="1791" t="s">
        <v>2791</v>
      </c>
      <c r="C208" s="1826">
        <v>188711925</v>
      </c>
      <c r="D208" s="724" t="s">
        <v>668</v>
      </c>
      <c r="E208" s="1220"/>
      <c r="F208" s="1220"/>
      <c r="G208" s="1220"/>
      <c r="H208" s="1220"/>
      <c r="I208" s="701"/>
      <c r="J208" s="1882"/>
      <c r="K208" s="1640" t="s">
        <v>2839</v>
      </c>
      <c r="L208" s="1637" t="s">
        <v>1640</v>
      </c>
      <c r="M208" s="1637" t="s">
        <v>2535</v>
      </c>
      <c r="N208" s="525"/>
      <c r="O208" s="525"/>
      <c r="P208" s="1189"/>
      <c r="Q208" s="368"/>
      <c r="R208" s="368"/>
    </row>
    <row r="209" spans="1:18" ht="59.5" hidden="1" customHeight="1">
      <c r="A209" s="1803"/>
      <c r="B209" s="1791"/>
      <c r="C209" s="1826"/>
      <c r="D209" s="1136" t="s">
        <v>341</v>
      </c>
      <c r="E209" s="1269"/>
      <c r="F209" s="1269"/>
      <c r="G209" s="1269"/>
      <c r="H209" s="1269"/>
      <c r="I209" s="798"/>
      <c r="J209" s="1882"/>
      <c r="K209" s="1709"/>
      <c r="L209" s="1638"/>
      <c r="M209" s="1639"/>
      <c r="N209" s="527"/>
      <c r="O209" s="527"/>
      <c r="P209" s="1189"/>
      <c r="Q209" s="368"/>
      <c r="R209" s="368"/>
    </row>
    <row r="210" spans="1:18" ht="60.65" hidden="1" customHeight="1">
      <c r="A210" s="1803"/>
      <c r="B210" s="1791"/>
      <c r="C210" s="1833"/>
      <c r="D210" s="705" t="s">
        <v>1321</v>
      </c>
      <c r="E210" s="1225">
        <f>E208</f>
        <v>0</v>
      </c>
      <c r="F210" s="1225"/>
      <c r="G210" s="1225"/>
      <c r="H210" s="1225"/>
      <c r="I210" s="706"/>
      <c r="J210" s="1882"/>
      <c r="K210" s="1708"/>
      <c r="L210" s="1639"/>
      <c r="M210" s="638" t="s">
        <v>2536</v>
      </c>
      <c r="N210" s="638"/>
      <c r="O210" s="638"/>
      <c r="P210" s="1189"/>
      <c r="Q210" s="368"/>
      <c r="R210" s="368"/>
    </row>
    <row r="211" spans="1:18" ht="36" hidden="1" customHeight="1">
      <c r="A211" s="1803" t="s">
        <v>2531</v>
      </c>
      <c r="B211" s="1791" t="s">
        <v>2792</v>
      </c>
      <c r="C211" s="1826" t="s">
        <v>1325</v>
      </c>
      <c r="D211" s="733" t="s">
        <v>2751</v>
      </c>
      <c r="E211" s="1206"/>
      <c r="F211" s="1206"/>
      <c r="G211" s="1206"/>
      <c r="H211" s="1206"/>
      <c r="I211" s="734">
        <v>37.9</v>
      </c>
      <c r="J211" s="1882"/>
      <c r="K211" s="1640" t="s">
        <v>2608</v>
      </c>
      <c r="L211" s="1637" t="s">
        <v>1640</v>
      </c>
      <c r="M211" s="1637" t="s">
        <v>1618</v>
      </c>
      <c r="N211" s="525"/>
      <c r="O211" s="525"/>
      <c r="P211" s="1189"/>
      <c r="Q211" s="368"/>
      <c r="R211" s="368"/>
    </row>
    <row r="212" spans="1:18" ht="28.95" hidden="1" customHeight="1">
      <c r="A212" s="1803"/>
      <c r="B212" s="1791"/>
      <c r="C212" s="1826"/>
      <c r="D212" s="724" t="s">
        <v>341</v>
      </c>
      <c r="E212" s="1220"/>
      <c r="F212" s="1220"/>
      <c r="G212" s="1220"/>
      <c r="H212" s="1220"/>
      <c r="I212" s="701">
        <v>46.186999999999998</v>
      </c>
      <c r="J212" s="1882"/>
      <c r="K212" s="1709"/>
      <c r="L212" s="1638"/>
      <c r="M212" s="1638"/>
      <c r="N212" s="526"/>
      <c r="O212" s="526"/>
      <c r="P212" s="1189"/>
      <c r="Q212" s="368"/>
      <c r="R212" s="368"/>
    </row>
    <row r="213" spans="1:18" ht="27" hidden="1" customHeight="1">
      <c r="A213" s="1803"/>
      <c r="B213" s="1791"/>
      <c r="C213" s="1826"/>
      <c r="D213" s="727" t="s">
        <v>1321</v>
      </c>
      <c r="E213" s="1225">
        <f>E211</f>
        <v>0</v>
      </c>
      <c r="F213" s="1225"/>
      <c r="G213" s="1225"/>
      <c r="H213" s="1225"/>
      <c r="I213" s="706">
        <f>I211+I212</f>
        <v>84.086999999999989</v>
      </c>
      <c r="J213" s="1702"/>
      <c r="K213" s="1708"/>
      <c r="L213" s="1639"/>
      <c r="M213" s="1639"/>
      <c r="N213" s="526"/>
      <c r="O213" s="526"/>
      <c r="P213" s="1189"/>
      <c r="Q213" s="368"/>
      <c r="R213" s="368"/>
    </row>
    <row r="214" spans="1:18" ht="63.75" customHeight="1">
      <c r="A214" s="1697"/>
      <c r="B214" s="1697"/>
      <c r="C214" s="1697"/>
      <c r="D214" s="1697"/>
      <c r="E214" s="1287" t="s">
        <v>2857</v>
      </c>
      <c r="F214" s="1287" t="s">
        <v>2856</v>
      </c>
      <c r="G214" s="1287" t="s">
        <v>2858</v>
      </c>
      <c r="H214" s="1287" t="s">
        <v>2859</v>
      </c>
      <c r="I214" s="807" t="str">
        <f>I13</f>
        <v>2024  m.asignavimai ir kitos lėšos, tūkst. Eur</v>
      </c>
      <c r="J214" s="1994"/>
      <c r="K214" s="1995"/>
      <c r="L214" s="1995"/>
      <c r="M214" s="1995"/>
      <c r="N214" s="1995"/>
      <c r="O214" s="1995"/>
      <c r="P214" s="1996"/>
      <c r="Q214" s="368"/>
      <c r="R214" s="368"/>
    </row>
    <row r="215" spans="1:18" ht="28.95" customHeight="1">
      <c r="A215" s="1984" t="s">
        <v>986</v>
      </c>
      <c r="B215" s="1985"/>
      <c r="C215" s="1985"/>
      <c r="D215" s="1987"/>
      <c r="E215" s="1288">
        <f>SUM(E216,E217,E220,E221,E222,E223,)</f>
        <v>7168.1719999999987</v>
      </c>
      <c r="F215" s="1288">
        <f t="shared" ref="F215:G215" si="91">SUM(F216,F217,F220,F221,F222,F223,)</f>
        <v>8309.887999999999</v>
      </c>
      <c r="G215" s="1288">
        <f t="shared" si="91"/>
        <v>7407.7389999999996</v>
      </c>
      <c r="H215" s="1289">
        <f>G215/F215</f>
        <v>0.89143668362317285</v>
      </c>
      <c r="I215" s="729" t="e">
        <f>SUM(I216,I217,I220,I221,I222,I223,)</f>
        <v>#REF!</v>
      </c>
      <c r="J215" s="1290"/>
      <c r="K215" s="1504"/>
      <c r="L215" s="478"/>
      <c r="M215" s="478"/>
      <c r="N215" s="478"/>
      <c r="O215" s="478"/>
      <c r="P215" s="1200"/>
      <c r="Q215" s="368"/>
      <c r="R215" s="368"/>
    </row>
    <row r="216" spans="1:18" ht="29.5" customHeight="1">
      <c r="A216" s="1981" t="s">
        <v>2867</v>
      </c>
      <c r="B216" s="1982"/>
      <c r="C216" s="1982"/>
      <c r="D216" s="1983"/>
      <c r="E216" s="1222">
        <f>SUM(E16,E36,E39,E42,E82,E101,E104,E107,E109,E111,E115,E120,E123,E125,E127,E129,E132,E135,E139,E141,E146,E148,E150,E155,E159,E161,E164,E171,E176,E178,E187,E190,E193,E196,E198,E201,E208,E47)</f>
        <v>4302.7459999999992</v>
      </c>
      <c r="F216" s="1222">
        <f>SUM(F16,F36,F39,F42,F101,F104,F107,F109,F111,F115,F120,F123,F125,F127,F129,F132,F135,F139,F141,F146,F148,F150,F155,F159,F161,F164,F171,F176,F178,F187,F190,F193,F196,F198,F201,F208,F47)</f>
        <v>4234.9099999999989</v>
      </c>
      <c r="G216" s="1222">
        <f>SUM(G16,G36,G39,G42,G101,G104,G107,G109,G111,G115,G120,G123,G125,G127,G129,G132,G135,G139,G141,G146,G148,G150,G155,G159,G161,G164,G171,G176,G178,G187,G190,G193,G196,G198,G201,G208,G47)</f>
        <v>3417.3549999999996</v>
      </c>
      <c r="H216" s="1289">
        <f>G216/F216</f>
        <v>0.80694867187260189</v>
      </c>
      <c r="I216" s="701" t="e">
        <f>SUM(I16,I36,I39,I42,I82,I101,I104,I107,I109,I111,I115,I120,I123,I125,I127,I129,I132,I139,I141,I146,I148,I150,I155,I159,I161,I164,I171,I176,I178,I187,I196,I198,I208,I47,)</f>
        <v>#REF!</v>
      </c>
      <c r="J216" s="742"/>
      <c r="K216" s="1504"/>
      <c r="L216" s="478"/>
      <c r="M216" s="478"/>
      <c r="N216" s="478"/>
      <c r="O216" s="478"/>
      <c r="P216" s="1200"/>
      <c r="Q216" s="368"/>
      <c r="R216" s="368"/>
    </row>
    <row r="217" spans="1:18" ht="31.2" customHeight="1">
      <c r="A217" s="1981" t="s">
        <v>988</v>
      </c>
      <c r="B217" s="1982"/>
      <c r="C217" s="1982"/>
      <c r="D217" s="1983"/>
      <c r="E217" s="1222">
        <f>SUM(E19,E41,E43,E57,E59,E81,E96,E105,E112,E136,E143,E151,E152,E156,E166,E172,E179,)</f>
        <v>1857.5709999999999</v>
      </c>
      <c r="F217" s="1222">
        <f>SUM(F19,F41,F43,F57,F59,F81,F96,F105,F112,F136,F143,F151,F152,F156,F166,F172,F179,F60,F82)</f>
        <v>3363.7820000000006</v>
      </c>
      <c r="G217" s="1222">
        <f>SUM(G19,G41,G43,G57,G59,G81,G96,G105,G112,G136,G143,G151,G152,G156,G166,G172,G179,G60,G82)</f>
        <v>3316.9530000000004</v>
      </c>
      <c r="H217" s="1289">
        <f>G217/F217</f>
        <v>0.98607846762959073</v>
      </c>
      <c r="I217" s="701">
        <f>I218+I219</f>
        <v>2392.2170000000001</v>
      </c>
      <c r="J217" s="742"/>
      <c r="K217" s="1504"/>
      <c r="L217" s="478"/>
      <c r="M217" s="478"/>
      <c r="N217" s="478"/>
      <c r="O217" s="478"/>
      <c r="P217" s="1200"/>
      <c r="Q217" s="368"/>
      <c r="R217" s="368"/>
    </row>
    <row r="218" spans="1:18" ht="35.5" hidden="1" customHeight="1">
      <c r="A218" s="720"/>
      <c r="B218" s="2030" t="s">
        <v>2598</v>
      </c>
      <c r="C218" s="2031"/>
      <c r="D218" s="2032"/>
      <c r="E218" s="1294"/>
      <c r="F218" s="1294"/>
      <c r="G218" s="1294"/>
      <c r="H218" s="1289" t="e">
        <f t="shared" ref="H218:H223" si="92">G218/F218-1</f>
        <v>#DIV/0!</v>
      </c>
      <c r="I218" s="464">
        <f>SUM(I41,I57,I59,I81,I96,I151)</f>
        <v>2128.585</v>
      </c>
      <c r="J218" s="742"/>
      <c r="K218" s="1504"/>
      <c r="L218" s="478"/>
      <c r="M218" s="478"/>
      <c r="N218" s="478"/>
      <c r="O218" s="478"/>
      <c r="P218" s="1200"/>
      <c r="Q218" s="368"/>
      <c r="R218" s="368"/>
    </row>
    <row r="219" spans="1:18" ht="26.5" hidden="1" customHeight="1">
      <c r="A219" s="720"/>
      <c r="B219" s="1291" t="s">
        <v>2599</v>
      </c>
      <c r="C219" s="1292"/>
      <c r="D219" s="1293"/>
      <c r="E219" s="1294"/>
      <c r="F219" s="1294"/>
      <c r="G219" s="1294"/>
      <c r="H219" s="1289" t="e">
        <f t="shared" si="92"/>
        <v>#DIV/0!</v>
      </c>
      <c r="I219" s="464">
        <f>SUM(I19,I60,I112,I143,I152,I166,I172,I179,I156,I136,I105,)</f>
        <v>263.63200000000001</v>
      </c>
      <c r="J219" s="742"/>
      <c r="K219" s="1504"/>
      <c r="L219" s="478"/>
      <c r="M219" s="478"/>
      <c r="N219" s="478"/>
      <c r="O219" s="478"/>
      <c r="P219" s="1200"/>
      <c r="Q219" s="368"/>
      <c r="R219" s="368"/>
    </row>
    <row r="220" spans="1:18" ht="25.5" customHeight="1">
      <c r="A220" s="1981" t="s">
        <v>989</v>
      </c>
      <c r="B220" s="1982"/>
      <c r="C220" s="1982"/>
      <c r="D220" s="1983"/>
      <c r="E220" s="1222">
        <f>SUM(E17,E121,E133,E165,)</f>
        <v>472.85499999999996</v>
      </c>
      <c r="F220" s="1222">
        <f>SUM(F17,F121,F133,F165,)</f>
        <v>491.9849999999999</v>
      </c>
      <c r="G220" s="1222">
        <f>SUM(G17,G121,G133,G165,)</f>
        <v>491.42700000000002</v>
      </c>
      <c r="H220" s="1289">
        <f>G220/F220</f>
        <v>0.99886581907985028</v>
      </c>
      <c r="I220" s="701">
        <f>SUM(I17,I121,I133,I165,)</f>
        <v>510.8</v>
      </c>
      <c r="J220" s="1295"/>
      <c r="K220" s="1504"/>
      <c r="L220" s="478"/>
      <c r="M220" s="478"/>
      <c r="N220" s="478"/>
      <c r="O220" s="478"/>
      <c r="P220" s="1200"/>
      <c r="Q220" s="368"/>
      <c r="R220" s="368"/>
    </row>
    <row r="221" spans="1:18" ht="29.5" customHeight="1">
      <c r="A221" s="1981" t="s">
        <v>2695</v>
      </c>
      <c r="B221" s="1982"/>
      <c r="C221" s="1982"/>
      <c r="D221" s="1983"/>
      <c r="E221" s="1222">
        <f>SUM(E137,E142,E174,E188,E194,E199,E202,E206,E209,E212,E162,)</f>
        <v>435</v>
      </c>
      <c r="F221" s="1222">
        <f t="shared" ref="F221:G221" si="93">SUM(F137,F142,F174,F188,F194,F199,F202,F206,F209,F212,F162,)</f>
        <v>219.21100000000001</v>
      </c>
      <c r="G221" s="1222">
        <f t="shared" si="93"/>
        <v>182.00400000000002</v>
      </c>
      <c r="H221" s="1289">
        <f>G221/F221</f>
        <v>0.83026855404153987</v>
      </c>
      <c r="I221" s="701">
        <f>SUM(I137,I142,I174,I188,I194,I199,I202,I203,I175,I144,I212,I206,I209,I162)</f>
        <v>708.21799999999996</v>
      </c>
      <c r="J221" s="1295"/>
      <c r="K221" s="1504"/>
      <c r="L221" s="478"/>
      <c r="M221" s="478"/>
      <c r="N221" s="478"/>
      <c r="O221" s="478"/>
      <c r="P221" s="1200"/>
      <c r="Q221" s="368"/>
      <c r="R221" s="368"/>
    </row>
    <row r="222" spans="1:18" ht="23.5" customHeight="1">
      <c r="A222" s="1981" t="s">
        <v>990</v>
      </c>
      <c r="B222" s="1982"/>
      <c r="C222" s="1982"/>
      <c r="D222" s="1983"/>
      <c r="E222" s="1222">
        <f>SUM(E191)</f>
        <v>100</v>
      </c>
      <c r="F222" s="1222">
        <f t="shared" ref="F222:G222" si="94">SUM(F191)</f>
        <v>0</v>
      </c>
      <c r="G222" s="1222">
        <f t="shared" si="94"/>
        <v>0</v>
      </c>
      <c r="H222" s="1289"/>
      <c r="I222" s="701">
        <f>SUM(I191)</f>
        <v>100</v>
      </c>
      <c r="J222" s="742"/>
      <c r="K222" s="1504"/>
      <c r="L222" s="478"/>
      <c r="M222" s="478"/>
      <c r="N222" s="478"/>
      <c r="O222" s="478"/>
      <c r="P222" s="1200"/>
      <c r="Q222" s="368"/>
      <c r="R222" s="368"/>
    </row>
    <row r="223" spans="1:18" ht="26.5" hidden="1" customHeight="1">
      <c r="A223" s="1981" t="s">
        <v>991</v>
      </c>
      <c r="B223" s="1982"/>
      <c r="C223" s="1982"/>
      <c r="D223" s="1983"/>
      <c r="E223" s="1222">
        <v>0</v>
      </c>
      <c r="F223" s="1222"/>
      <c r="G223" s="1222"/>
      <c r="H223" s="1289" t="e">
        <f t="shared" si="92"/>
        <v>#DIV/0!</v>
      </c>
      <c r="I223" s="701">
        <f>SUM(I24,I135,I190,I193,I201,I205,I211,)</f>
        <v>253.56699999999998</v>
      </c>
      <c r="J223" s="742"/>
      <c r="L223" s="478"/>
      <c r="M223" s="478"/>
      <c r="N223" s="478"/>
      <c r="O223" s="478"/>
      <c r="P223" s="1200"/>
      <c r="Q223" s="368"/>
      <c r="R223" s="368"/>
    </row>
    <row r="224" spans="1:18" ht="37.200000000000003" customHeight="1">
      <c r="A224" s="1984" t="s">
        <v>992</v>
      </c>
      <c r="B224" s="1985"/>
      <c r="C224" s="1985"/>
      <c r="D224" s="1986"/>
      <c r="E224" s="1296">
        <v>5249.6</v>
      </c>
      <c r="F224" s="1296">
        <f>F35+F38+F20</f>
        <v>5549.7020000000002</v>
      </c>
      <c r="G224" s="1296">
        <f>G35+G38+G20</f>
        <v>5532.9830000000002</v>
      </c>
      <c r="H224" s="1289">
        <f>G224/F224</f>
        <v>0.99698740581025791</v>
      </c>
      <c r="I224" s="1297">
        <f>SUM(I35,I38,I45,)</f>
        <v>6510.7999999999993</v>
      </c>
      <c r="J224" s="1295"/>
      <c r="L224" s="478"/>
      <c r="M224" s="478"/>
      <c r="N224" s="478"/>
      <c r="O224" s="478"/>
      <c r="P224" s="1200"/>
      <c r="Q224" s="368"/>
      <c r="R224" s="368"/>
    </row>
    <row r="225" spans="1:18" ht="27.75" customHeight="1">
      <c r="A225" s="2043" t="s">
        <v>1334</v>
      </c>
      <c r="B225" s="2044"/>
      <c r="C225" s="2044"/>
      <c r="D225" s="2045"/>
      <c r="E225" s="1288">
        <f>E215+E224</f>
        <v>12417.771999999999</v>
      </c>
      <c r="F225" s="1288">
        <f t="shared" ref="F225:G225" si="95">F215+F224</f>
        <v>13859.59</v>
      </c>
      <c r="G225" s="1288">
        <f t="shared" si="95"/>
        <v>12940.722</v>
      </c>
      <c r="H225" s="1289">
        <f>G225/F225</f>
        <v>0.93370164629689623</v>
      </c>
      <c r="I225" s="729" t="e">
        <f>I215+I224</f>
        <v>#REF!</v>
      </c>
      <c r="J225" s="809"/>
      <c r="K225" s="1504"/>
      <c r="L225" s="478"/>
      <c r="M225" s="478"/>
      <c r="N225" s="478"/>
      <c r="O225" s="478"/>
      <c r="P225" s="1200"/>
      <c r="Q225" s="368"/>
      <c r="R225" s="368"/>
    </row>
    <row r="226" spans="1:18" ht="39.65" hidden="1" customHeight="1">
      <c r="A226" s="2046" t="s">
        <v>1948</v>
      </c>
      <c r="B226" s="2047"/>
      <c r="C226" s="2047"/>
      <c r="D226" s="2048"/>
      <c r="E226" s="512">
        <v>0</v>
      </c>
      <c r="F226" s="512">
        <v>0</v>
      </c>
      <c r="G226" s="512">
        <v>0</v>
      </c>
      <c r="H226" s="513"/>
      <c r="I226" s="440">
        <f>SUM(I210,I207,I195,I138,I163)</f>
        <v>510</v>
      </c>
      <c r="J226" s="436"/>
      <c r="K226" s="1504"/>
      <c r="L226" s="437"/>
      <c r="M226" s="437"/>
      <c r="N226" s="437"/>
      <c r="O226" s="437"/>
      <c r="Q226" s="368"/>
      <c r="R226" s="368"/>
    </row>
    <row r="227" spans="1:18" ht="39" hidden="1" customHeight="1">
      <c r="A227" s="430"/>
      <c r="B227" s="1690" t="s">
        <v>993</v>
      </c>
      <c r="C227" s="1690"/>
      <c r="D227" s="1690"/>
      <c r="E227" s="493">
        <v>0</v>
      </c>
      <c r="F227" s="511"/>
      <c r="G227" s="511"/>
      <c r="H227" s="511"/>
      <c r="I227" s="441" t="e">
        <f>I225/E225-1</f>
        <v>#REF!</v>
      </c>
      <c r="J227" s="436"/>
      <c r="K227" s="1504"/>
      <c r="L227" s="437"/>
      <c r="M227" s="437"/>
      <c r="N227" s="437"/>
      <c r="O227" s="437"/>
      <c r="Q227" s="368"/>
      <c r="R227" s="368"/>
    </row>
    <row r="228" spans="1:18">
      <c r="A228" s="425"/>
      <c r="B228" s="425"/>
      <c r="C228" s="425"/>
      <c r="D228" s="425"/>
      <c r="E228" s="425"/>
      <c r="F228" s="425"/>
      <c r="G228" s="425"/>
      <c r="H228" s="425"/>
      <c r="I228" s="425"/>
      <c r="J228" s="425"/>
      <c r="K228" s="1489"/>
      <c r="L228" s="425"/>
      <c r="M228" s="425"/>
      <c r="N228" s="425"/>
      <c r="O228" s="425"/>
      <c r="Q228" s="368"/>
      <c r="R228" s="368"/>
    </row>
    <row r="229" spans="1:18">
      <c r="E229" s="368"/>
      <c r="F229" s="368"/>
      <c r="G229" s="368"/>
      <c r="H229" s="368"/>
      <c r="Q229" s="368"/>
      <c r="R229" s="368"/>
    </row>
    <row r="230" spans="1:18" ht="30.75" hidden="1" customHeight="1">
      <c r="A230" s="371"/>
      <c r="B230" s="393"/>
      <c r="C230" s="374"/>
      <c r="D230" s="374"/>
      <c r="E230" s="392"/>
      <c r="F230" s="392">
        <v>4726.8950000000004</v>
      </c>
      <c r="G230" s="392">
        <v>3908.7820000000002</v>
      </c>
      <c r="H230" s="392"/>
      <c r="I230" s="392">
        <v>4859.6270000000004</v>
      </c>
      <c r="J230" s="392"/>
      <c r="K230" s="1534"/>
      <c r="Q230" s="368"/>
      <c r="R230" s="368"/>
    </row>
    <row r="231" spans="1:18" ht="27.75" hidden="1" customHeight="1">
      <c r="A231" s="371"/>
      <c r="B231" s="371"/>
      <c r="C231" s="371"/>
      <c r="D231" s="371"/>
      <c r="E231" s="371"/>
      <c r="F231" s="1454">
        <f>F230-F216-F220-F222</f>
        <v>1.5916157281026244E-12</v>
      </c>
      <c r="G231" s="1454">
        <f>G230-G216-G220-G222</f>
        <v>5.6843418860808015E-13</v>
      </c>
      <c r="H231" s="371"/>
      <c r="I231" s="371"/>
      <c r="J231" s="371"/>
      <c r="K231" s="1520"/>
      <c r="Q231" s="368"/>
      <c r="R231" s="368"/>
    </row>
    <row r="232" spans="1:18" hidden="1">
      <c r="A232" s="371"/>
      <c r="B232" s="371"/>
      <c r="C232" s="371"/>
      <c r="D232" s="371"/>
      <c r="E232" s="371"/>
      <c r="F232" s="371"/>
      <c r="G232" s="371"/>
      <c r="H232" s="371"/>
      <c r="I232" s="388" t="e">
        <f>I230-I216-I220-I222-I223</f>
        <v>#REF!</v>
      </c>
      <c r="J232" s="371"/>
      <c r="K232" s="1520"/>
      <c r="Q232" s="368"/>
      <c r="R232" s="368"/>
    </row>
    <row r="233" spans="1:18">
      <c r="A233" s="371"/>
      <c r="B233" s="371"/>
      <c r="C233" s="371"/>
      <c r="D233" s="371"/>
      <c r="E233" s="371"/>
      <c r="F233" s="371"/>
      <c r="G233" s="371"/>
      <c r="H233" s="371"/>
      <c r="I233" s="371"/>
      <c r="J233" s="371"/>
      <c r="K233" s="1520"/>
      <c r="Q233" s="368"/>
      <c r="R233" s="368"/>
    </row>
    <row r="234" spans="1:18">
      <c r="A234" s="371"/>
      <c r="B234" s="371"/>
      <c r="C234" s="371"/>
      <c r="D234" s="371"/>
      <c r="E234" s="371"/>
      <c r="F234" s="371"/>
      <c r="G234" s="371"/>
      <c r="H234" s="371"/>
      <c r="I234" s="371"/>
      <c r="J234" s="371"/>
      <c r="K234" s="1520"/>
      <c r="Q234" s="368"/>
      <c r="R234" s="368"/>
    </row>
    <row r="235" spans="1:18">
      <c r="A235" s="371"/>
      <c r="B235" s="371"/>
      <c r="C235" s="371"/>
      <c r="D235" s="371"/>
      <c r="E235" s="371"/>
      <c r="F235" s="371"/>
      <c r="G235" s="371"/>
      <c r="H235" s="371"/>
      <c r="I235" s="371"/>
      <c r="J235" s="371"/>
      <c r="K235" s="1520"/>
      <c r="Q235" s="368"/>
      <c r="R235" s="368"/>
    </row>
    <row r="236" spans="1:18">
      <c r="A236" s="371"/>
      <c r="B236" s="371"/>
      <c r="C236" s="371"/>
      <c r="D236" s="371"/>
      <c r="E236" s="371"/>
      <c r="F236" s="371"/>
      <c r="G236" s="371"/>
      <c r="H236" s="371"/>
      <c r="I236" s="371"/>
      <c r="J236" s="371"/>
      <c r="K236" s="1520"/>
      <c r="Q236" s="368"/>
      <c r="R236" s="368"/>
    </row>
    <row r="237" spans="1:18">
      <c r="A237" s="371"/>
      <c r="B237" s="371"/>
      <c r="C237" s="371"/>
      <c r="D237" s="371"/>
      <c r="E237" s="371"/>
      <c r="F237" s="371"/>
      <c r="G237" s="371"/>
      <c r="H237" s="371"/>
      <c r="I237" s="371"/>
      <c r="J237" s="371"/>
      <c r="K237" s="1520"/>
      <c r="Q237" s="368"/>
      <c r="R237" s="368"/>
    </row>
    <row r="238" spans="1:18">
      <c r="A238" s="371"/>
      <c r="B238" s="371"/>
      <c r="C238" s="371"/>
      <c r="D238" s="371"/>
      <c r="E238" s="371"/>
      <c r="F238" s="371"/>
      <c r="G238" s="371"/>
      <c r="H238" s="371"/>
      <c r="I238" s="371"/>
      <c r="J238" s="371"/>
      <c r="K238" s="1520"/>
      <c r="Q238" s="368"/>
      <c r="R238" s="368"/>
    </row>
    <row r="239" spans="1:18">
      <c r="A239" s="371"/>
      <c r="B239" s="371"/>
      <c r="C239" s="371"/>
      <c r="D239" s="371"/>
      <c r="E239" s="371"/>
      <c r="F239" s="371"/>
      <c r="G239" s="371"/>
      <c r="H239" s="371"/>
      <c r="I239" s="371"/>
      <c r="J239" s="371"/>
      <c r="K239" s="1520"/>
      <c r="Q239" s="368"/>
      <c r="R239" s="368"/>
    </row>
    <row r="240" spans="1:18">
      <c r="A240" s="371"/>
      <c r="B240" s="371"/>
      <c r="C240" s="371"/>
      <c r="D240" s="371"/>
      <c r="E240" s="371"/>
      <c r="F240" s="371"/>
      <c r="G240" s="371"/>
      <c r="H240" s="371"/>
      <c r="I240" s="371"/>
      <c r="J240" s="371"/>
      <c r="K240" s="1520"/>
      <c r="Q240" s="368"/>
      <c r="R240" s="368"/>
    </row>
    <row r="241" spans="1:18">
      <c r="A241" s="371"/>
      <c r="B241" s="371"/>
      <c r="C241" s="371"/>
      <c r="D241" s="371"/>
      <c r="E241" s="371"/>
      <c r="F241" s="371"/>
      <c r="G241" s="371"/>
      <c r="H241" s="371"/>
      <c r="I241" s="371"/>
      <c r="J241" s="371"/>
      <c r="K241" s="1520"/>
      <c r="Q241" s="368"/>
      <c r="R241" s="368"/>
    </row>
    <row r="242" spans="1:18">
      <c r="A242" s="371"/>
      <c r="B242" s="371"/>
      <c r="C242" s="371"/>
      <c r="D242" s="371"/>
      <c r="E242" s="371"/>
      <c r="F242" s="371"/>
      <c r="G242" s="371"/>
      <c r="H242" s="371"/>
      <c r="I242" s="371"/>
      <c r="J242" s="371"/>
      <c r="K242" s="1520"/>
      <c r="Q242" s="368"/>
      <c r="R242" s="368"/>
    </row>
    <row r="243" spans="1:18">
      <c r="A243" s="371"/>
      <c r="B243" s="371"/>
      <c r="C243" s="371"/>
      <c r="D243" s="371"/>
      <c r="E243" s="371"/>
      <c r="F243" s="371"/>
      <c r="G243" s="371"/>
      <c r="H243" s="371"/>
      <c r="I243" s="371"/>
      <c r="J243" s="371"/>
      <c r="K243" s="1520"/>
      <c r="Q243" s="368"/>
      <c r="R243" s="368"/>
    </row>
    <row r="244" spans="1:18">
      <c r="A244" s="371"/>
      <c r="B244" s="371"/>
      <c r="C244" s="371"/>
      <c r="D244" s="371"/>
      <c r="E244" s="371"/>
      <c r="F244" s="371"/>
      <c r="G244" s="371"/>
      <c r="H244" s="371"/>
      <c r="I244" s="371"/>
      <c r="J244" s="371"/>
      <c r="K244" s="1520"/>
      <c r="Q244" s="368"/>
      <c r="R244" s="368"/>
    </row>
    <row r="245" spans="1:18">
      <c r="A245" s="371"/>
      <c r="B245" s="371"/>
      <c r="C245" s="371"/>
      <c r="D245" s="371"/>
      <c r="E245" s="371"/>
      <c r="F245" s="371"/>
      <c r="G245" s="371"/>
      <c r="H245" s="371"/>
      <c r="I245" s="371"/>
      <c r="J245" s="371"/>
      <c r="K245" s="1520"/>
      <c r="Q245" s="368"/>
      <c r="R245" s="368"/>
    </row>
    <row r="246" spans="1:18">
      <c r="A246" s="371"/>
      <c r="B246" s="371"/>
      <c r="C246" s="371"/>
      <c r="D246" s="371"/>
      <c r="E246" s="371"/>
      <c r="F246" s="371"/>
      <c r="G246" s="371"/>
      <c r="H246" s="371"/>
      <c r="I246" s="371"/>
      <c r="J246" s="371"/>
      <c r="K246" s="1520"/>
      <c r="Q246" s="368"/>
      <c r="R246" s="368"/>
    </row>
    <row r="247" spans="1:18">
      <c r="A247" s="371"/>
      <c r="B247" s="371"/>
      <c r="C247" s="371"/>
      <c r="D247" s="371"/>
      <c r="E247" s="371"/>
      <c r="F247" s="371"/>
      <c r="G247" s="371"/>
      <c r="H247" s="371"/>
      <c r="I247" s="371"/>
      <c r="J247" s="371"/>
      <c r="K247" s="1520"/>
      <c r="Q247" s="368"/>
      <c r="R247" s="368"/>
    </row>
    <row r="248" spans="1:18">
      <c r="A248" s="371"/>
      <c r="B248" s="371"/>
      <c r="C248" s="371"/>
      <c r="D248" s="371"/>
      <c r="E248" s="371"/>
      <c r="F248" s="371"/>
      <c r="G248" s="371"/>
      <c r="H248" s="371"/>
      <c r="I248" s="371"/>
      <c r="J248" s="371"/>
      <c r="K248" s="1520"/>
      <c r="Q248" s="368"/>
      <c r="R248" s="368"/>
    </row>
    <row r="249" spans="1:18">
      <c r="A249" s="371"/>
      <c r="B249" s="371"/>
      <c r="C249" s="371"/>
      <c r="D249" s="371"/>
      <c r="E249" s="371"/>
      <c r="F249" s="371"/>
      <c r="G249" s="371"/>
      <c r="H249" s="371"/>
      <c r="I249" s="371"/>
      <c r="J249" s="371"/>
      <c r="K249" s="1520"/>
      <c r="Q249" s="368"/>
      <c r="R249" s="368"/>
    </row>
    <row r="250" spans="1:18">
      <c r="A250" s="371"/>
      <c r="B250" s="371"/>
      <c r="C250" s="371"/>
      <c r="D250" s="371"/>
      <c r="E250" s="371"/>
      <c r="F250" s="371"/>
      <c r="G250" s="371"/>
      <c r="H250" s="371"/>
      <c r="I250" s="371"/>
      <c r="J250" s="371"/>
      <c r="K250" s="1520"/>
      <c r="Q250" s="368"/>
      <c r="R250" s="368"/>
    </row>
    <row r="251" spans="1:18">
      <c r="A251" s="371"/>
      <c r="B251" s="371"/>
      <c r="C251" s="371"/>
      <c r="D251" s="371"/>
      <c r="E251" s="371"/>
      <c r="F251" s="371"/>
      <c r="G251" s="371"/>
      <c r="H251" s="371"/>
      <c r="I251" s="371"/>
      <c r="J251" s="371"/>
      <c r="K251" s="1520"/>
      <c r="Q251" s="368"/>
      <c r="R251" s="368"/>
    </row>
    <row r="252" spans="1:18">
      <c r="A252" s="371"/>
      <c r="B252" s="371"/>
      <c r="C252" s="371"/>
      <c r="D252" s="371"/>
      <c r="E252" s="371"/>
      <c r="F252" s="371"/>
      <c r="G252" s="371"/>
      <c r="H252" s="371"/>
      <c r="I252" s="371"/>
      <c r="J252" s="371"/>
      <c r="K252" s="1520"/>
      <c r="Q252" s="368"/>
      <c r="R252" s="368"/>
    </row>
    <row r="253" spans="1:18">
      <c r="A253" s="371"/>
      <c r="B253" s="371"/>
      <c r="C253" s="371"/>
      <c r="D253" s="371"/>
      <c r="E253" s="371"/>
      <c r="F253" s="371"/>
      <c r="G253" s="371"/>
      <c r="H253" s="371"/>
      <c r="I253" s="371"/>
      <c r="J253" s="371"/>
      <c r="K253" s="1520"/>
      <c r="Q253" s="368"/>
      <c r="R253" s="368"/>
    </row>
    <row r="254" spans="1:18">
      <c r="A254" s="371"/>
      <c r="B254" s="371"/>
      <c r="C254" s="371"/>
      <c r="D254" s="371"/>
      <c r="E254" s="371"/>
      <c r="F254" s="371"/>
      <c r="G254" s="371"/>
      <c r="H254" s="371"/>
      <c r="I254" s="371"/>
      <c r="J254" s="371"/>
      <c r="K254" s="1520"/>
      <c r="Q254" s="368"/>
      <c r="R254" s="368"/>
    </row>
    <row r="255" spans="1:18">
      <c r="A255" s="371"/>
      <c r="B255" s="371"/>
      <c r="C255" s="371"/>
      <c r="D255" s="371"/>
      <c r="E255" s="371"/>
      <c r="F255" s="371"/>
      <c r="G255" s="371"/>
      <c r="H255" s="371"/>
      <c r="I255" s="371"/>
      <c r="J255" s="371"/>
      <c r="K255" s="1520"/>
      <c r="Q255" s="368"/>
      <c r="R255" s="368"/>
    </row>
    <row r="256" spans="1:18">
      <c r="A256" s="371"/>
      <c r="B256" s="371"/>
      <c r="C256" s="371"/>
      <c r="D256" s="371"/>
      <c r="E256" s="371"/>
      <c r="F256" s="371"/>
      <c r="G256" s="371"/>
      <c r="H256" s="371"/>
      <c r="I256" s="371"/>
      <c r="J256" s="371"/>
      <c r="K256" s="1520"/>
      <c r="Q256" s="368"/>
      <c r="R256" s="368"/>
    </row>
    <row r="257" spans="1:18">
      <c r="A257" s="371"/>
      <c r="B257" s="371"/>
      <c r="C257" s="371"/>
      <c r="D257" s="371"/>
      <c r="E257" s="371"/>
      <c r="F257" s="371"/>
      <c r="G257" s="371"/>
      <c r="H257" s="371"/>
      <c r="I257" s="371"/>
      <c r="J257" s="371"/>
      <c r="K257" s="1520"/>
      <c r="Q257" s="368"/>
      <c r="R257" s="368"/>
    </row>
    <row r="258" spans="1:18">
      <c r="A258" s="371"/>
      <c r="B258" s="371"/>
      <c r="C258" s="371"/>
      <c r="D258" s="371"/>
      <c r="E258" s="371"/>
      <c r="F258" s="371"/>
      <c r="G258" s="371"/>
      <c r="H258" s="371"/>
      <c r="I258" s="371"/>
      <c r="J258" s="371"/>
      <c r="K258" s="1520"/>
      <c r="Q258" s="368"/>
      <c r="R258" s="368"/>
    </row>
    <row r="259" spans="1:18">
      <c r="A259" s="371"/>
      <c r="B259" s="371"/>
      <c r="C259" s="371"/>
      <c r="D259" s="371"/>
      <c r="E259" s="371"/>
      <c r="F259" s="371"/>
      <c r="G259" s="371"/>
      <c r="H259" s="371"/>
      <c r="I259" s="371"/>
      <c r="J259" s="371"/>
      <c r="K259" s="1520"/>
      <c r="Q259" s="368"/>
      <c r="R259" s="368"/>
    </row>
    <row r="260" spans="1:18">
      <c r="A260" s="371"/>
      <c r="B260" s="371"/>
      <c r="C260" s="371"/>
      <c r="D260" s="371"/>
      <c r="E260" s="371"/>
      <c r="F260" s="371"/>
      <c r="G260" s="371"/>
      <c r="H260" s="371"/>
      <c r="I260" s="371"/>
      <c r="J260" s="371"/>
      <c r="K260" s="1520"/>
      <c r="Q260" s="368"/>
      <c r="R260" s="368"/>
    </row>
    <row r="261" spans="1:18">
      <c r="A261" s="371"/>
      <c r="B261" s="371"/>
      <c r="C261" s="371"/>
      <c r="D261" s="371"/>
      <c r="E261" s="371"/>
      <c r="F261" s="371"/>
      <c r="G261" s="371"/>
      <c r="H261" s="371"/>
      <c r="I261" s="371"/>
      <c r="J261" s="371"/>
      <c r="K261" s="1520"/>
      <c r="Q261" s="368"/>
      <c r="R261" s="368"/>
    </row>
    <row r="262" spans="1:18">
      <c r="A262" s="371"/>
      <c r="B262" s="371"/>
      <c r="C262" s="371"/>
      <c r="D262" s="371"/>
      <c r="E262" s="371"/>
      <c r="F262" s="371"/>
      <c r="G262" s="371"/>
      <c r="H262" s="371"/>
      <c r="I262" s="371"/>
      <c r="J262" s="371"/>
      <c r="K262" s="1520"/>
      <c r="Q262" s="368"/>
      <c r="R262" s="368"/>
    </row>
    <row r="263" spans="1:18">
      <c r="A263" s="371"/>
      <c r="B263" s="371"/>
      <c r="C263" s="371"/>
      <c r="D263" s="371"/>
      <c r="E263" s="371"/>
      <c r="F263" s="371"/>
      <c r="G263" s="371"/>
      <c r="H263" s="371"/>
      <c r="I263" s="371"/>
      <c r="J263" s="371"/>
      <c r="K263" s="1520"/>
      <c r="Q263" s="368"/>
      <c r="R263" s="368"/>
    </row>
    <row r="264" spans="1:18">
      <c r="A264" s="371"/>
      <c r="B264" s="371"/>
      <c r="C264" s="371"/>
      <c r="D264" s="371"/>
      <c r="E264" s="371"/>
      <c r="F264" s="371"/>
      <c r="G264" s="371"/>
      <c r="H264" s="371"/>
      <c r="I264" s="371"/>
      <c r="J264" s="371"/>
      <c r="K264" s="1520"/>
      <c r="Q264" s="368"/>
      <c r="R264" s="368"/>
    </row>
    <row r="265" spans="1:18">
      <c r="A265" s="371"/>
      <c r="B265" s="371"/>
      <c r="C265" s="371"/>
      <c r="D265" s="371"/>
      <c r="E265" s="371"/>
      <c r="F265" s="371"/>
      <c r="G265" s="371"/>
      <c r="H265" s="371"/>
      <c r="I265" s="371"/>
      <c r="J265" s="371"/>
      <c r="K265" s="1520"/>
      <c r="Q265" s="368"/>
      <c r="R265" s="368"/>
    </row>
    <row r="266" spans="1:18">
      <c r="A266" s="371"/>
      <c r="B266" s="371"/>
      <c r="C266" s="371"/>
      <c r="D266" s="371"/>
      <c r="E266" s="371"/>
      <c r="F266" s="371"/>
      <c r="G266" s="371"/>
      <c r="H266" s="371"/>
      <c r="I266" s="371"/>
      <c r="J266" s="371"/>
      <c r="K266" s="1520"/>
      <c r="Q266" s="368"/>
      <c r="R266" s="368"/>
    </row>
    <row r="267" spans="1:18">
      <c r="A267" s="371"/>
      <c r="B267" s="371"/>
      <c r="C267" s="371"/>
      <c r="D267" s="371"/>
      <c r="E267" s="371"/>
      <c r="F267" s="371"/>
      <c r="G267" s="371"/>
      <c r="H267" s="371"/>
      <c r="I267" s="371"/>
      <c r="J267" s="371"/>
      <c r="K267" s="1520"/>
      <c r="Q267" s="368"/>
      <c r="R267" s="368"/>
    </row>
    <row r="268" spans="1:18">
      <c r="A268" s="371"/>
      <c r="B268" s="371"/>
      <c r="C268" s="371"/>
      <c r="D268" s="371"/>
      <c r="E268" s="371"/>
      <c r="F268" s="371"/>
      <c r="G268" s="371"/>
      <c r="H268" s="371"/>
      <c r="I268" s="371"/>
      <c r="J268" s="371"/>
      <c r="K268" s="1520"/>
      <c r="Q268" s="368"/>
      <c r="R268" s="368"/>
    </row>
    <row r="269" spans="1:18">
      <c r="A269" s="371"/>
      <c r="B269" s="371"/>
      <c r="C269" s="371"/>
      <c r="D269" s="371"/>
      <c r="E269" s="371"/>
      <c r="F269" s="371"/>
      <c r="G269" s="371"/>
      <c r="H269" s="371"/>
      <c r="I269" s="371"/>
      <c r="J269" s="371"/>
      <c r="K269" s="1520"/>
      <c r="Q269" s="368"/>
      <c r="R269" s="368"/>
    </row>
    <row r="270" spans="1:18">
      <c r="A270" s="371"/>
      <c r="B270" s="371"/>
      <c r="C270" s="371"/>
      <c r="D270" s="371"/>
      <c r="E270" s="371"/>
      <c r="F270" s="371"/>
      <c r="G270" s="371"/>
      <c r="H270" s="371"/>
      <c r="I270" s="371"/>
      <c r="J270" s="371"/>
      <c r="K270" s="1520"/>
      <c r="Q270" s="368"/>
      <c r="R270" s="368"/>
    </row>
    <row r="271" spans="1:18">
      <c r="A271" s="371"/>
      <c r="B271" s="371"/>
      <c r="C271" s="371"/>
      <c r="D271" s="371"/>
      <c r="E271" s="371"/>
      <c r="F271" s="371"/>
      <c r="G271" s="371"/>
      <c r="H271" s="371"/>
      <c r="I271" s="371"/>
      <c r="J271" s="371"/>
      <c r="K271" s="1520"/>
      <c r="Q271" s="368"/>
      <c r="R271" s="368"/>
    </row>
    <row r="272" spans="1:18">
      <c r="A272" s="371"/>
      <c r="B272" s="371"/>
      <c r="C272" s="371"/>
      <c r="D272" s="371"/>
      <c r="E272" s="371"/>
      <c r="F272" s="371"/>
      <c r="G272" s="371"/>
      <c r="H272" s="371"/>
      <c r="I272" s="371"/>
      <c r="J272" s="371"/>
      <c r="K272" s="1520"/>
      <c r="Q272" s="368"/>
      <c r="R272" s="368"/>
    </row>
    <row r="273" spans="1:18">
      <c r="A273" s="371"/>
      <c r="B273" s="371"/>
      <c r="C273" s="371"/>
      <c r="D273" s="371"/>
      <c r="E273" s="371"/>
      <c r="F273" s="371"/>
      <c r="G273" s="371"/>
      <c r="H273" s="371"/>
      <c r="I273" s="371"/>
      <c r="J273" s="371"/>
      <c r="K273" s="1520"/>
      <c r="Q273" s="368"/>
      <c r="R273" s="368"/>
    </row>
    <row r="274" spans="1:18">
      <c r="A274" s="371"/>
      <c r="B274" s="371"/>
      <c r="C274" s="371"/>
      <c r="D274" s="371"/>
      <c r="E274" s="371"/>
      <c r="F274" s="371"/>
      <c r="G274" s="371"/>
      <c r="H274" s="371"/>
      <c r="I274" s="371"/>
      <c r="J274" s="371"/>
      <c r="K274" s="1520"/>
      <c r="Q274" s="368"/>
      <c r="R274" s="368"/>
    </row>
    <row r="275" spans="1:18">
      <c r="A275" s="371"/>
      <c r="B275" s="371"/>
      <c r="C275" s="371"/>
      <c r="D275" s="371"/>
      <c r="E275" s="371"/>
      <c r="F275" s="371"/>
      <c r="G275" s="371"/>
      <c r="H275" s="371"/>
      <c r="I275" s="371"/>
      <c r="J275" s="371"/>
      <c r="K275" s="1520"/>
      <c r="Q275" s="368"/>
      <c r="R275" s="368"/>
    </row>
    <row r="276" spans="1:18">
      <c r="A276" s="371"/>
      <c r="B276" s="371"/>
      <c r="C276" s="371"/>
      <c r="D276" s="371"/>
      <c r="E276" s="371"/>
      <c r="F276" s="371"/>
      <c r="G276" s="371"/>
      <c r="H276" s="371"/>
      <c r="I276" s="371"/>
      <c r="J276" s="371"/>
      <c r="K276" s="1520"/>
      <c r="Q276" s="368"/>
      <c r="R276" s="368"/>
    </row>
    <row r="277" spans="1:18">
      <c r="A277" s="371"/>
      <c r="B277" s="371"/>
      <c r="C277" s="371"/>
      <c r="D277" s="371"/>
      <c r="E277" s="371"/>
      <c r="F277" s="371"/>
      <c r="G277" s="371"/>
      <c r="H277" s="371"/>
      <c r="I277" s="371"/>
      <c r="J277" s="371"/>
      <c r="K277" s="1520"/>
      <c r="Q277" s="368"/>
      <c r="R277" s="368"/>
    </row>
    <row r="278" spans="1:18">
      <c r="A278" s="371"/>
      <c r="B278" s="371"/>
      <c r="C278" s="371"/>
      <c r="D278" s="371"/>
      <c r="E278" s="371"/>
      <c r="F278" s="371"/>
      <c r="G278" s="371"/>
      <c r="H278" s="371"/>
      <c r="I278" s="371"/>
      <c r="J278" s="371"/>
      <c r="K278" s="1520"/>
      <c r="Q278" s="368"/>
      <c r="R278" s="368"/>
    </row>
    <row r="279" spans="1:18">
      <c r="E279" s="368"/>
      <c r="F279" s="368"/>
      <c r="G279" s="368"/>
      <c r="H279" s="368"/>
      <c r="Q279" s="368"/>
      <c r="R279" s="368"/>
    </row>
    <row r="280" spans="1:18">
      <c r="E280" s="368"/>
      <c r="F280" s="368"/>
      <c r="G280" s="368"/>
      <c r="H280" s="368"/>
      <c r="Q280" s="368"/>
      <c r="R280" s="368"/>
    </row>
    <row r="281" spans="1:18">
      <c r="E281" s="368"/>
      <c r="F281" s="368"/>
      <c r="G281" s="368"/>
      <c r="H281" s="368"/>
      <c r="Q281" s="368"/>
      <c r="R281" s="368"/>
    </row>
    <row r="282" spans="1:18">
      <c r="E282" s="368"/>
      <c r="F282" s="368"/>
      <c r="G282" s="368"/>
      <c r="H282" s="368"/>
      <c r="Q282" s="368"/>
      <c r="R282" s="368"/>
    </row>
    <row r="283" spans="1:18">
      <c r="E283" s="368"/>
      <c r="F283" s="368"/>
      <c r="G283" s="368"/>
      <c r="H283" s="368"/>
      <c r="Q283" s="368"/>
      <c r="R283" s="368"/>
    </row>
    <row r="284" spans="1:18">
      <c r="E284" s="368"/>
      <c r="F284" s="368"/>
      <c r="G284" s="368"/>
      <c r="H284" s="368"/>
      <c r="Q284" s="368"/>
      <c r="R284" s="368"/>
    </row>
    <row r="285" spans="1:18">
      <c r="E285" s="368"/>
      <c r="F285" s="368"/>
      <c r="G285" s="368"/>
      <c r="H285" s="368"/>
      <c r="Q285" s="368"/>
      <c r="R285" s="368"/>
    </row>
    <row r="286" spans="1:18">
      <c r="E286" s="368"/>
      <c r="F286" s="368"/>
      <c r="G286" s="368"/>
      <c r="H286" s="368"/>
      <c r="Q286" s="368"/>
      <c r="R286" s="368"/>
    </row>
    <row r="287" spans="1:18">
      <c r="E287" s="368"/>
      <c r="F287" s="368"/>
      <c r="G287" s="368"/>
      <c r="H287" s="368"/>
      <c r="Q287" s="368"/>
      <c r="R287" s="368"/>
    </row>
    <row r="288" spans="1:18">
      <c r="E288" s="368"/>
      <c r="F288" s="368"/>
      <c r="G288" s="368"/>
      <c r="H288" s="368"/>
      <c r="Q288" s="368"/>
      <c r="R288" s="368"/>
    </row>
    <row r="289" spans="11:11" s="368" customFormat="1">
      <c r="K289" s="1539"/>
    </row>
    <row r="290" spans="11:11" s="368" customFormat="1">
      <c r="K290" s="1539"/>
    </row>
    <row r="291" spans="11:11" s="368" customFormat="1">
      <c r="K291" s="1539"/>
    </row>
    <row r="292" spans="11:11" s="368" customFormat="1">
      <c r="K292" s="1539"/>
    </row>
    <row r="293" spans="11:11" s="368" customFormat="1">
      <c r="K293" s="1539"/>
    </row>
    <row r="294" spans="11:11" s="368" customFormat="1">
      <c r="K294" s="1539"/>
    </row>
    <row r="295" spans="11:11" s="368" customFormat="1">
      <c r="K295" s="1539"/>
    </row>
    <row r="296" spans="11:11" s="368" customFormat="1">
      <c r="K296" s="1539"/>
    </row>
    <row r="297" spans="11:11" s="368" customFormat="1">
      <c r="K297" s="1539"/>
    </row>
    <row r="298" spans="11:11" s="368" customFormat="1">
      <c r="K298" s="1539"/>
    </row>
    <row r="299" spans="11:11" s="368" customFormat="1">
      <c r="K299" s="1539"/>
    </row>
    <row r="300" spans="11:11" s="368" customFormat="1">
      <c r="K300" s="1539"/>
    </row>
    <row r="301" spans="11:11" s="368" customFormat="1">
      <c r="K301" s="1539"/>
    </row>
    <row r="302" spans="11:11" s="368" customFormat="1">
      <c r="K302" s="1539"/>
    </row>
    <row r="303" spans="11:11" s="368" customFormat="1">
      <c r="K303" s="1539"/>
    </row>
    <row r="304" spans="11:11" s="368" customFormat="1">
      <c r="K304" s="1539"/>
    </row>
    <row r="305" spans="11:11" s="368" customFormat="1">
      <c r="K305" s="1539"/>
    </row>
    <row r="306" spans="11:11" s="368" customFormat="1">
      <c r="K306" s="1539"/>
    </row>
    <row r="307" spans="11:11" s="368" customFormat="1">
      <c r="K307" s="1539"/>
    </row>
    <row r="308" spans="11:11" s="368" customFormat="1">
      <c r="K308" s="1539"/>
    </row>
    <row r="309" spans="11:11" s="368" customFormat="1">
      <c r="K309" s="1539"/>
    </row>
    <row r="310" spans="11:11" s="368" customFormat="1">
      <c r="K310" s="1539"/>
    </row>
    <row r="311" spans="11:11" s="368" customFormat="1">
      <c r="K311" s="1539"/>
    </row>
    <row r="312" spans="11:11" s="368" customFormat="1">
      <c r="K312" s="1539"/>
    </row>
    <row r="313" spans="11:11" s="368" customFormat="1">
      <c r="K313" s="1539"/>
    </row>
    <row r="314" spans="11:11" s="368" customFormat="1">
      <c r="K314" s="1539"/>
    </row>
    <row r="315" spans="11:11" s="368" customFormat="1">
      <c r="K315" s="1539"/>
    </row>
    <row r="316" spans="11:11" s="368" customFormat="1">
      <c r="K316" s="1539"/>
    </row>
    <row r="317" spans="11:11" s="368" customFormat="1">
      <c r="K317" s="1539"/>
    </row>
    <row r="318" spans="11:11" s="368" customFormat="1">
      <c r="K318" s="1539"/>
    </row>
    <row r="319" spans="11:11" s="368" customFormat="1">
      <c r="K319" s="1539"/>
    </row>
    <row r="320" spans="11:11" s="368" customFormat="1">
      <c r="K320" s="1539"/>
    </row>
    <row r="321" spans="11:11" s="368" customFormat="1">
      <c r="K321" s="1539"/>
    </row>
    <row r="322" spans="11:11" s="368" customFormat="1">
      <c r="K322" s="1539"/>
    </row>
    <row r="323" spans="11:11" s="368" customFormat="1">
      <c r="K323" s="1539"/>
    </row>
    <row r="324" spans="11:11" s="368" customFormat="1">
      <c r="K324" s="1539"/>
    </row>
    <row r="325" spans="11:11" s="368" customFormat="1">
      <c r="K325" s="1539"/>
    </row>
    <row r="326" spans="11:11" s="368" customFormat="1">
      <c r="K326" s="1539"/>
    </row>
    <row r="327" spans="11:11" s="368" customFormat="1">
      <c r="K327" s="1539"/>
    </row>
    <row r="328" spans="11:11" s="368" customFormat="1">
      <c r="K328" s="1539"/>
    </row>
    <row r="329" spans="11:11" s="368" customFormat="1">
      <c r="K329" s="1539"/>
    </row>
    <row r="330" spans="11:11" s="368" customFormat="1">
      <c r="K330" s="1539"/>
    </row>
    <row r="331" spans="11:11" s="368" customFormat="1">
      <c r="K331" s="1539"/>
    </row>
    <row r="332" spans="11:11" s="368" customFormat="1">
      <c r="K332" s="1539"/>
    </row>
    <row r="333" spans="11:11" s="368" customFormat="1">
      <c r="K333" s="1539"/>
    </row>
    <row r="334" spans="11:11" s="368" customFormat="1">
      <c r="K334" s="1539"/>
    </row>
    <row r="335" spans="11:11" s="368" customFormat="1">
      <c r="K335" s="1539"/>
    </row>
    <row r="336" spans="11:11" s="368" customFormat="1">
      <c r="K336" s="1539"/>
    </row>
    <row r="337" spans="11:11" s="368" customFormat="1">
      <c r="K337" s="1539"/>
    </row>
    <row r="338" spans="11:11" s="368" customFormat="1">
      <c r="K338" s="1539"/>
    </row>
    <row r="339" spans="11:11" s="368" customFormat="1">
      <c r="K339" s="1539"/>
    </row>
    <row r="340" spans="11:11" s="368" customFormat="1">
      <c r="K340" s="1539"/>
    </row>
    <row r="341" spans="11:11" s="368" customFormat="1">
      <c r="K341" s="1539"/>
    </row>
    <row r="342" spans="11:11" s="368" customFormat="1">
      <c r="K342" s="1539"/>
    </row>
    <row r="343" spans="11:11" s="368" customFormat="1">
      <c r="K343" s="1539"/>
    </row>
    <row r="344" spans="11:11" s="368" customFormat="1">
      <c r="K344" s="1539"/>
    </row>
    <row r="345" spans="11:11" s="368" customFormat="1">
      <c r="K345" s="1539"/>
    </row>
    <row r="346" spans="11:11" s="368" customFormat="1">
      <c r="K346" s="1539"/>
    </row>
    <row r="347" spans="11:11" s="368" customFormat="1">
      <c r="K347" s="1539"/>
    </row>
    <row r="348" spans="11:11" s="368" customFormat="1">
      <c r="K348" s="1539"/>
    </row>
    <row r="349" spans="11:11" s="368" customFormat="1">
      <c r="K349" s="1539"/>
    </row>
    <row r="350" spans="11:11" s="368" customFormat="1">
      <c r="K350" s="1539"/>
    </row>
    <row r="351" spans="11:11" s="368" customFormat="1">
      <c r="K351" s="1539"/>
    </row>
    <row r="352" spans="11:11" s="368" customFormat="1">
      <c r="K352" s="1539"/>
    </row>
    <row r="353" spans="11:11" s="368" customFormat="1">
      <c r="K353" s="1539"/>
    </row>
    <row r="354" spans="11:11" s="368" customFormat="1">
      <c r="K354" s="1539"/>
    </row>
    <row r="355" spans="11:11" s="368" customFormat="1">
      <c r="K355" s="1539"/>
    </row>
    <row r="356" spans="11:11" s="368" customFormat="1">
      <c r="K356" s="1539"/>
    </row>
    <row r="357" spans="11:11" s="368" customFormat="1">
      <c r="K357" s="1539"/>
    </row>
    <row r="358" spans="11:11" s="368" customFormat="1">
      <c r="K358" s="1539"/>
    </row>
    <row r="359" spans="11:11" s="368" customFormat="1">
      <c r="K359" s="1539"/>
    </row>
    <row r="360" spans="11:11" s="368" customFormat="1">
      <c r="K360" s="1539"/>
    </row>
    <row r="361" spans="11:11" s="368" customFormat="1">
      <c r="K361" s="1539"/>
    </row>
    <row r="362" spans="11:11" s="368" customFormat="1">
      <c r="K362" s="1539"/>
    </row>
    <row r="363" spans="11:11" s="368" customFormat="1">
      <c r="K363" s="1539"/>
    </row>
    <row r="364" spans="11:11" s="368" customFormat="1">
      <c r="K364" s="1539"/>
    </row>
    <row r="365" spans="11:11" s="368" customFormat="1">
      <c r="K365" s="1539"/>
    </row>
    <row r="366" spans="11:11" s="368" customFormat="1">
      <c r="K366" s="1539"/>
    </row>
    <row r="367" spans="11:11" s="368" customFormat="1">
      <c r="K367" s="1539"/>
    </row>
    <row r="368" spans="11:11" s="368" customFormat="1">
      <c r="K368" s="1539"/>
    </row>
    <row r="369" spans="11:11" s="368" customFormat="1">
      <c r="K369" s="1539"/>
    </row>
    <row r="370" spans="11:11" s="368" customFormat="1">
      <c r="K370" s="1539"/>
    </row>
    <row r="371" spans="11:11" s="368" customFormat="1">
      <c r="K371" s="1539"/>
    </row>
    <row r="372" spans="11:11" s="368" customFormat="1">
      <c r="K372" s="1539"/>
    </row>
    <row r="373" spans="11:11" s="368" customFormat="1">
      <c r="K373" s="1539"/>
    </row>
    <row r="374" spans="11:11" s="368" customFormat="1">
      <c r="K374" s="1539"/>
    </row>
    <row r="375" spans="11:11" s="368" customFormat="1">
      <c r="K375" s="1539"/>
    </row>
    <row r="376" spans="11:11" s="368" customFormat="1">
      <c r="K376" s="1539"/>
    </row>
    <row r="377" spans="11:11" s="368" customFormat="1">
      <c r="K377" s="1539"/>
    </row>
    <row r="378" spans="11:11" s="368" customFormat="1">
      <c r="K378" s="1539"/>
    </row>
    <row r="379" spans="11:11" s="368" customFormat="1">
      <c r="K379" s="1539"/>
    </row>
    <row r="380" spans="11:11" s="368" customFormat="1">
      <c r="K380" s="1539"/>
    </row>
    <row r="381" spans="11:11" s="368" customFormat="1">
      <c r="K381" s="1539"/>
    </row>
    <row r="382" spans="11:11" s="368" customFormat="1">
      <c r="K382" s="1539"/>
    </row>
    <row r="383" spans="11:11" s="368" customFormat="1">
      <c r="K383" s="1539"/>
    </row>
    <row r="384" spans="11:11" s="368" customFormat="1">
      <c r="K384" s="1539"/>
    </row>
    <row r="385" spans="11:11" s="368" customFormat="1">
      <c r="K385" s="1539"/>
    </row>
    <row r="386" spans="11:11" s="368" customFormat="1">
      <c r="K386" s="1539"/>
    </row>
    <row r="387" spans="11:11" s="368" customFormat="1">
      <c r="K387" s="1539"/>
    </row>
    <row r="388" spans="11:11" s="368" customFormat="1">
      <c r="K388" s="1539"/>
    </row>
    <row r="389" spans="11:11" s="368" customFormat="1">
      <c r="K389" s="1539"/>
    </row>
    <row r="390" spans="11:11" s="368" customFormat="1">
      <c r="K390" s="1539"/>
    </row>
    <row r="391" spans="11:11" s="368" customFormat="1">
      <c r="K391" s="1539"/>
    </row>
    <row r="392" spans="11:11" s="368" customFormat="1">
      <c r="K392" s="1539"/>
    </row>
    <row r="393" spans="11:11" s="368" customFormat="1">
      <c r="K393" s="1539"/>
    </row>
    <row r="394" spans="11:11" s="368" customFormat="1">
      <c r="K394" s="1539"/>
    </row>
    <row r="395" spans="11:11" s="368" customFormat="1">
      <c r="K395" s="1539"/>
    </row>
    <row r="396" spans="11:11" s="368" customFormat="1">
      <c r="K396" s="1539"/>
    </row>
    <row r="397" spans="11:11" s="368" customFormat="1">
      <c r="K397" s="1539"/>
    </row>
    <row r="398" spans="11:11" s="368" customFormat="1">
      <c r="K398" s="1539"/>
    </row>
    <row r="399" spans="11:11" s="368" customFormat="1">
      <c r="K399" s="1539"/>
    </row>
    <row r="400" spans="11:11" s="368" customFormat="1">
      <c r="K400" s="1539"/>
    </row>
    <row r="401" spans="11:11" s="368" customFormat="1">
      <c r="K401" s="1539"/>
    </row>
    <row r="402" spans="11:11" s="368" customFormat="1">
      <c r="K402" s="1539"/>
    </row>
    <row r="403" spans="11:11" s="368" customFormat="1">
      <c r="K403" s="1539"/>
    </row>
    <row r="404" spans="11:11" s="368" customFormat="1">
      <c r="K404" s="1539"/>
    </row>
    <row r="405" spans="11:11" s="368" customFormat="1">
      <c r="K405" s="1539"/>
    </row>
    <row r="406" spans="11:11" s="368" customFormat="1">
      <c r="K406" s="1539"/>
    </row>
    <row r="407" spans="11:11" s="368" customFormat="1">
      <c r="K407" s="1539"/>
    </row>
    <row r="408" spans="11:11" s="368" customFormat="1">
      <c r="K408" s="1539"/>
    </row>
    <row r="409" spans="11:11" s="368" customFormat="1">
      <c r="K409" s="1539"/>
    </row>
    <row r="410" spans="11:11" s="368" customFormat="1">
      <c r="K410" s="1539"/>
    </row>
    <row r="411" spans="11:11" s="368" customFormat="1">
      <c r="K411" s="1539"/>
    </row>
    <row r="412" spans="11:11" s="368" customFormat="1">
      <c r="K412" s="1539"/>
    </row>
    <row r="413" spans="11:11" s="368" customFormat="1">
      <c r="K413" s="1539"/>
    </row>
    <row r="414" spans="11:11" s="368" customFormat="1">
      <c r="K414" s="1539"/>
    </row>
    <row r="415" spans="11:11" s="368" customFormat="1">
      <c r="K415" s="1539"/>
    </row>
    <row r="416" spans="11:11" s="368" customFormat="1">
      <c r="K416" s="1539"/>
    </row>
    <row r="417" spans="11:11" s="368" customFormat="1">
      <c r="K417" s="1539"/>
    </row>
    <row r="418" spans="11:11" s="368" customFormat="1">
      <c r="K418" s="1539"/>
    </row>
    <row r="419" spans="11:11" s="368" customFormat="1">
      <c r="K419" s="1539"/>
    </row>
    <row r="420" spans="11:11" s="368" customFormat="1">
      <c r="K420" s="1539"/>
    </row>
    <row r="421" spans="11:11" s="368" customFormat="1">
      <c r="K421" s="1539"/>
    </row>
    <row r="422" spans="11:11" s="368" customFormat="1">
      <c r="K422" s="1539"/>
    </row>
    <row r="423" spans="11:11" s="368" customFormat="1">
      <c r="K423" s="1539"/>
    </row>
    <row r="424" spans="11:11" s="368" customFormat="1">
      <c r="K424" s="1539"/>
    </row>
    <row r="425" spans="11:11" s="368" customFormat="1">
      <c r="K425" s="1539"/>
    </row>
    <row r="426" spans="11:11" s="368" customFormat="1">
      <c r="K426" s="1539"/>
    </row>
    <row r="427" spans="11:11" s="368" customFormat="1">
      <c r="K427" s="1539"/>
    </row>
    <row r="428" spans="11:11" s="368" customFormat="1">
      <c r="K428" s="1539"/>
    </row>
    <row r="429" spans="11:11" s="368" customFormat="1">
      <c r="K429" s="1539"/>
    </row>
    <row r="430" spans="11:11" s="368" customFormat="1">
      <c r="K430" s="1539"/>
    </row>
    <row r="431" spans="11:11" s="368" customFormat="1">
      <c r="K431" s="1539"/>
    </row>
    <row r="432" spans="11:11" s="368" customFormat="1">
      <c r="K432" s="1539"/>
    </row>
    <row r="433" spans="11:11" s="368" customFormat="1">
      <c r="K433" s="1539"/>
    </row>
    <row r="434" spans="11:11" s="368" customFormat="1">
      <c r="K434" s="1539"/>
    </row>
    <row r="435" spans="11:11" s="368" customFormat="1">
      <c r="K435" s="1539"/>
    </row>
    <row r="436" spans="11:11" s="368" customFormat="1">
      <c r="K436" s="1539"/>
    </row>
    <row r="437" spans="11:11" s="368" customFormat="1">
      <c r="K437" s="1539"/>
    </row>
    <row r="438" spans="11:11" s="368" customFormat="1">
      <c r="K438" s="1539"/>
    </row>
    <row r="439" spans="11:11" s="368" customFormat="1">
      <c r="K439" s="1539"/>
    </row>
    <row r="440" spans="11:11" s="368" customFormat="1">
      <c r="K440" s="1539"/>
    </row>
    <row r="441" spans="11:11" s="368" customFormat="1">
      <c r="K441" s="1539"/>
    </row>
    <row r="442" spans="11:11" s="368" customFormat="1">
      <c r="K442" s="1539"/>
    </row>
    <row r="443" spans="11:11" s="368" customFormat="1">
      <c r="K443" s="1539"/>
    </row>
    <row r="444" spans="11:11" s="368" customFormat="1">
      <c r="K444" s="1539"/>
    </row>
    <row r="445" spans="11:11" s="368" customFormat="1">
      <c r="K445" s="1539"/>
    </row>
    <row r="446" spans="11:11" s="368" customFormat="1">
      <c r="K446" s="1539"/>
    </row>
    <row r="447" spans="11:11" s="368" customFormat="1">
      <c r="K447" s="1539"/>
    </row>
    <row r="448" spans="11:11" s="368" customFormat="1">
      <c r="K448" s="1539"/>
    </row>
    <row r="449" spans="11:11" s="368" customFormat="1">
      <c r="K449" s="1539"/>
    </row>
    <row r="450" spans="11:11" s="368" customFormat="1">
      <c r="K450" s="1539"/>
    </row>
    <row r="451" spans="11:11" s="368" customFormat="1">
      <c r="K451" s="1539"/>
    </row>
    <row r="452" spans="11:11" s="368" customFormat="1">
      <c r="K452" s="1539"/>
    </row>
    <row r="453" spans="11:11" s="368" customFormat="1">
      <c r="K453" s="1539"/>
    </row>
    <row r="454" spans="11:11" s="368" customFormat="1">
      <c r="K454" s="1539"/>
    </row>
    <row r="455" spans="11:11" s="368" customFormat="1">
      <c r="K455" s="1539"/>
    </row>
    <row r="456" spans="11:11" s="368" customFormat="1">
      <c r="K456" s="1539"/>
    </row>
    <row r="457" spans="11:11" s="368" customFormat="1">
      <c r="K457" s="1539"/>
    </row>
    <row r="458" spans="11:11" s="368" customFormat="1">
      <c r="K458" s="1539"/>
    </row>
    <row r="459" spans="11:11" s="368" customFormat="1">
      <c r="K459" s="1539"/>
    </row>
    <row r="460" spans="11:11" s="368" customFormat="1">
      <c r="K460" s="1539"/>
    </row>
    <row r="461" spans="11:11" s="368" customFormat="1">
      <c r="K461" s="1539"/>
    </row>
    <row r="462" spans="11:11" s="368" customFormat="1">
      <c r="K462" s="1539"/>
    </row>
    <row r="463" spans="11:11" s="368" customFormat="1">
      <c r="K463" s="1539"/>
    </row>
    <row r="464" spans="11:11" s="368" customFormat="1">
      <c r="K464" s="1539"/>
    </row>
    <row r="465" spans="11:11" s="368" customFormat="1">
      <c r="K465" s="1539"/>
    </row>
    <row r="466" spans="11:11" s="368" customFormat="1">
      <c r="K466" s="1539"/>
    </row>
    <row r="467" spans="11:11" s="368" customFormat="1">
      <c r="K467" s="1539"/>
    </row>
    <row r="468" spans="11:11" s="368" customFormat="1">
      <c r="K468" s="1539"/>
    </row>
    <row r="469" spans="11:11" s="368" customFormat="1">
      <c r="K469" s="1539"/>
    </row>
    <row r="470" spans="11:11" s="368" customFormat="1">
      <c r="K470" s="1539"/>
    </row>
    <row r="471" spans="11:11" s="368" customFormat="1">
      <c r="K471" s="1539"/>
    </row>
    <row r="472" spans="11:11" s="368" customFormat="1">
      <c r="K472" s="1539"/>
    </row>
    <row r="473" spans="11:11" s="368" customFormat="1">
      <c r="K473" s="1539"/>
    </row>
    <row r="474" spans="11:11" s="368" customFormat="1">
      <c r="K474" s="1539"/>
    </row>
    <row r="475" spans="11:11" s="368" customFormat="1">
      <c r="K475" s="1539"/>
    </row>
    <row r="476" spans="11:11" s="368" customFormat="1">
      <c r="K476" s="1539"/>
    </row>
    <row r="477" spans="11:11" s="368" customFormat="1">
      <c r="K477" s="1539"/>
    </row>
    <row r="478" spans="11:11" s="368" customFormat="1">
      <c r="K478" s="1539"/>
    </row>
    <row r="479" spans="11:11" s="368" customFormat="1">
      <c r="K479" s="1539"/>
    </row>
    <row r="480" spans="11:11" s="368" customFormat="1">
      <c r="K480" s="1539"/>
    </row>
    <row r="481" spans="11:11" s="368" customFormat="1">
      <c r="K481" s="1539"/>
    </row>
    <row r="482" spans="11:11" s="368" customFormat="1">
      <c r="K482" s="1539"/>
    </row>
    <row r="483" spans="11:11" s="368" customFormat="1">
      <c r="K483" s="1539"/>
    </row>
    <row r="484" spans="11:11" s="368" customFormat="1">
      <c r="K484" s="1539"/>
    </row>
    <row r="485" spans="11:11" s="368" customFormat="1">
      <c r="K485" s="1539"/>
    </row>
    <row r="486" spans="11:11" s="368" customFormat="1">
      <c r="K486" s="1539"/>
    </row>
    <row r="487" spans="11:11" s="368" customFormat="1">
      <c r="K487" s="1539"/>
    </row>
    <row r="488" spans="11:11" s="368" customFormat="1">
      <c r="K488" s="1539"/>
    </row>
    <row r="489" spans="11:11" s="368" customFormat="1">
      <c r="K489" s="1539"/>
    </row>
    <row r="490" spans="11:11" s="368" customFormat="1">
      <c r="K490" s="1539"/>
    </row>
    <row r="491" spans="11:11" s="368" customFormat="1">
      <c r="K491" s="1539"/>
    </row>
    <row r="492" spans="11:11" s="368" customFormat="1">
      <c r="K492" s="1539"/>
    </row>
    <row r="493" spans="11:11" s="368" customFormat="1">
      <c r="K493" s="1539"/>
    </row>
    <row r="494" spans="11:11" s="368" customFormat="1">
      <c r="K494" s="1539"/>
    </row>
    <row r="495" spans="11:11" s="368" customFormat="1">
      <c r="K495" s="1539"/>
    </row>
    <row r="496" spans="11:11" s="368" customFormat="1">
      <c r="K496" s="1539"/>
    </row>
    <row r="497" spans="11:11" s="368" customFormat="1">
      <c r="K497" s="1539"/>
    </row>
    <row r="498" spans="11:11" s="368" customFormat="1">
      <c r="K498" s="1539"/>
    </row>
    <row r="499" spans="11:11" s="368" customFormat="1">
      <c r="K499" s="1539"/>
    </row>
    <row r="500" spans="11:11" s="368" customFormat="1">
      <c r="K500" s="1539"/>
    </row>
    <row r="501" spans="11:11" s="368" customFormat="1">
      <c r="K501" s="1539"/>
    </row>
    <row r="502" spans="11:11" s="368" customFormat="1">
      <c r="K502" s="1539"/>
    </row>
    <row r="503" spans="11:11" s="368" customFormat="1">
      <c r="K503" s="1539"/>
    </row>
    <row r="504" spans="11:11" s="368" customFormat="1">
      <c r="K504" s="1539"/>
    </row>
    <row r="505" spans="11:11" s="368" customFormat="1">
      <c r="K505" s="1539"/>
    </row>
    <row r="506" spans="11:11" s="368" customFormat="1">
      <c r="K506" s="1539"/>
    </row>
    <row r="507" spans="11:11" s="368" customFormat="1">
      <c r="K507" s="1539"/>
    </row>
    <row r="508" spans="11:11" s="368" customFormat="1">
      <c r="K508" s="1539"/>
    </row>
    <row r="509" spans="11:11" s="368" customFormat="1">
      <c r="K509" s="1539"/>
    </row>
    <row r="510" spans="11:11" s="368" customFormat="1">
      <c r="K510" s="1539"/>
    </row>
    <row r="511" spans="11:11" s="368" customFormat="1">
      <c r="K511" s="1539"/>
    </row>
    <row r="512" spans="11:11" s="368" customFormat="1">
      <c r="K512" s="1539"/>
    </row>
    <row r="513" spans="11:11" s="368" customFormat="1">
      <c r="K513" s="1539"/>
    </row>
    <row r="514" spans="11:11" s="368" customFormat="1">
      <c r="K514" s="1539"/>
    </row>
    <row r="515" spans="11:11" s="368" customFormat="1">
      <c r="K515" s="1539"/>
    </row>
    <row r="516" spans="11:11" s="368" customFormat="1">
      <c r="K516" s="1539"/>
    </row>
    <row r="517" spans="11:11" s="368" customFormat="1">
      <c r="K517" s="1539"/>
    </row>
    <row r="518" spans="11:11" s="368" customFormat="1">
      <c r="K518" s="1539"/>
    </row>
    <row r="519" spans="11:11" s="368" customFormat="1">
      <c r="K519" s="1539"/>
    </row>
    <row r="520" spans="11:11" s="368" customFormat="1">
      <c r="K520" s="1539"/>
    </row>
    <row r="521" spans="11:11" s="368" customFormat="1">
      <c r="K521" s="1539"/>
    </row>
    <row r="522" spans="11:11" s="368" customFormat="1">
      <c r="K522" s="1539"/>
    </row>
    <row r="523" spans="11:11" s="368" customFormat="1">
      <c r="K523" s="1539"/>
    </row>
    <row r="524" spans="11:11" s="368" customFormat="1">
      <c r="K524" s="1539"/>
    </row>
    <row r="525" spans="11:11" s="368" customFormat="1">
      <c r="K525" s="1539"/>
    </row>
    <row r="526" spans="11:11" s="368" customFormat="1">
      <c r="K526" s="1539"/>
    </row>
    <row r="527" spans="11:11" s="368" customFormat="1">
      <c r="K527" s="1539"/>
    </row>
    <row r="528" spans="11:11" s="368" customFormat="1">
      <c r="K528" s="1539"/>
    </row>
    <row r="529" spans="11:11" s="368" customFormat="1">
      <c r="K529" s="1539"/>
    </row>
    <row r="530" spans="11:11" s="368" customFormat="1">
      <c r="K530" s="1539"/>
    </row>
    <row r="531" spans="11:11" s="368" customFormat="1">
      <c r="K531" s="1539"/>
    </row>
    <row r="532" spans="11:11" s="368" customFormat="1">
      <c r="K532" s="1539"/>
    </row>
    <row r="533" spans="11:11" s="368" customFormat="1">
      <c r="K533" s="1539"/>
    </row>
    <row r="534" spans="11:11" s="368" customFormat="1">
      <c r="K534" s="1539"/>
    </row>
    <row r="535" spans="11:11" s="368" customFormat="1">
      <c r="K535" s="1539"/>
    </row>
    <row r="536" spans="11:11" s="368" customFormat="1">
      <c r="K536" s="1539"/>
    </row>
    <row r="537" spans="11:11" s="368" customFormat="1">
      <c r="K537" s="1539"/>
    </row>
    <row r="538" spans="11:11" s="368" customFormat="1">
      <c r="K538" s="1539"/>
    </row>
    <row r="539" spans="11:11" s="368" customFormat="1">
      <c r="K539" s="1539"/>
    </row>
    <row r="540" spans="11:11" s="368" customFormat="1">
      <c r="K540" s="1539"/>
    </row>
    <row r="541" spans="11:11" s="368" customFormat="1">
      <c r="K541" s="1539"/>
    </row>
    <row r="542" spans="11:11" s="368" customFormat="1">
      <c r="K542" s="1539"/>
    </row>
    <row r="543" spans="11:11" s="368" customFormat="1">
      <c r="K543" s="1539"/>
    </row>
    <row r="544" spans="11:11" s="368" customFormat="1">
      <c r="K544" s="1539"/>
    </row>
    <row r="545" spans="11:11" s="368" customFormat="1">
      <c r="K545" s="1539"/>
    </row>
    <row r="546" spans="11:11" s="368" customFormat="1">
      <c r="K546" s="1539"/>
    </row>
    <row r="547" spans="11:11" s="368" customFormat="1">
      <c r="K547" s="1539"/>
    </row>
    <row r="548" spans="11:11" s="368" customFormat="1">
      <c r="K548" s="1539"/>
    </row>
    <row r="549" spans="11:11" s="368" customFormat="1">
      <c r="K549" s="1539"/>
    </row>
    <row r="550" spans="11:11" s="368" customFormat="1">
      <c r="K550" s="1539"/>
    </row>
    <row r="551" spans="11:11" s="368" customFormat="1">
      <c r="K551" s="1539"/>
    </row>
    <row r="552" spans="11:11" s="368" customFormat="1">
      <c r="K552" s="1539"/>
    </row>
    <row r="553" spans="11:11" s="368" customFormat="1">
      <c r="K553" s="1539"/>
    </row>
    <row r="554" spans="11:11" s="368" customFormat="1">
      <c r="K554" s="1539"/>
    </row>
    <row r="555" spans="11:11" s="368" customFormat="1">
      <c r="K555" s="1539"/>
    </row>
    <row r="556" spans="11:11" s="368" customFormat="1">
      <c r="K556" s="1539"/>
    </row>
    <row r="557" spans="11:11" s="368" customFormat="1">
      <c r="K557" s="1539"/>
    </row>
    <row r="558" spans="11:11" s="368" customFormat="1">
      <c r="K558" s="1539"/>
    </row>
    <row r="559" spans="11:11" s="368" customFormat="1">
      <c r="K559" s="1539"/>
    </row>
    <row r="560" spans="11:11" s="368" customFormat="1">
      <c r="K560" s="1539"/>
    </row>
    <row r="561" spans="11:11" s="368" customFormat="1">
      <c r="K561" s="1539"/>
    </row>
    <row r="562" spans="11:11" s="368" customFormat="1">
      <c r="K562" s="1539"/>
    </row>
    <row r="563" spans="11:11" s="368" customFormat="1">
      <c r="K563" s="1539"/>
    </row>
    <row r="564" spans="11:11" s="368" customFormat="1">
      <c r="K564" s="1539"/>
    </row>
    <row r="565" spans="11:11" s="368" customFormat="1">
      <c r="K565" s="1539"/>
    </row>
    <row r="566" spans="11:11" s="368" customFormat="1">
      <c r="K566" s="1539"/>
    </row>
    <row r="567" spans="11:11" s="368" customFormat="1">
      <c r="K567" s="1539"/>
    </row>
    <row r="568" spans="11:11" s="368" customFormat="1">
      <c r="K568" s="1539"/>
    </row>
    <row r="569" spans="11:11" s="368" customFormat="1">
      <c r="K569" s="1539"/>
    </row>
    <row r="570" spans="11:11" s="368" customFormat="1">
      <c r="K570" s="1539"/>
    </row>
    <row r="571" spans="11:11" s="368" customFormat="1">
      <c r="K571" s="1539"/>
    </row>
    <row r="572" spans="11:11" s="368" customFormat="1">
      <c r="K572" s="1539"/>
    </row>
    <row r="573" spans="11:11" s="368" customFormat="1">
      <c r="K573" s="1539"/>
    </row>
    <row r="574" spans="11:11" s="368" customFormat="1">
      <c r="K574" s="1539"/>
    </row>
    <row r="575" spans="11:11" s="368" customFormat="1">
      <c r="K575" s="1539"/>
    </row>
    <row r="576" spans="11:11" s="368" customFormat="1">
      <c r="K576" s="1539"/>
    </row>
    <row r="577" spans="11:11" s="368" customFormat="1">
      <c r="K577" s="1539"/>
    </row>
    <row r="578" spans="11:11" s="368" customFormat="1">
      <c r="K578" s="1539"/>
    </row>
    <row r="579" spans="11:11" s="368" customFormat="1">
      <c r="K579" s="1539"/>
    </row>
    <row r="580" spans="11:11" s="368" customFormat="1">
      <c r="K580" s="1539"/>
    </row>
    <row r="581" spans="11:11" s="368" customFormat="1">
      <c r="K581" s="1539"/>
    </row>
    <row r="582" spans="11:11" s="368" customFormat="1">
      <c r="K582" s="1539"/>
    </row>
    <row r="583" spans="11:11" s="368" customFormat="1">
      <c r="K583" s="1539"/>
    </row>
    <row r="584" spans="11:11" s="368" customFormat="1">
      <c r="K584" s="1539"/>
    </row>
    <row r="585" spans="11:11" s="368" customFormat="1">
      <c r="K585" s="1539"/>
    </row>
    <row r="586" spans="11:11" s="368" customFormat="1">
      <c r="K586" s="1539"/>
    </row>
    <row r="587" spans="11:11" s="368" customFormat="1">
      <c r="K587" s="1539"/>
    </row>
    <row r="588" spans="11:11" s="368" customFormat="1">
      <c r="K588" s="1539"/>
    </row>
    <row r="589" spans="11:11" s="368" customFormat="1">
      <c r="K589" s="1539"/>
    </row>
    <row r="590" spans="11:11" s="368" customFormat="1">
      <c r="K590" s="1539"/>
    </row>
    <row r="591" spans="11:11" s="368" customFormat="1">
      <c r="K591" s="1539"/>
    </row>
    <row r="592" spans="11:11" s="368" customFormat="1">
      <c r="K592" s="1539"/>
    </row>
    <row r="593" spans="11:11" s="368" customFormat="1">
      <c r="K593" s="1539"/>
    </row>
    <row r="594" spans="11:11" s="368" customFormat="1">
      <c r="K594" s="1539"/>
    </row>
    <row r="595" spans="11:11" s="368" customFormat="1">
      <c r="K595" s="1539"/>
    </row>
    <row r="596" spans="11:11" s="368" customFormat="1">
      <c r="K596" s="1539"/>
    </row>
    <row r="597" spans="11:11" s="368" customFormat="1">
      <c r="K597" s="1539"/>
    </row>
    <row r="598" spans="11:11" s="368" customFormat="1">
      <c r="K598" s="1539"/>
    </row>
    <row r="599" spans="11:11" s="368" customFormat="1">
      <c r="K599" s="1539"/>
    </row>
    <row r="600" spans="11:11" s="368" customFormat="1">
      <c r="K600" s="1539"/>
    </row>
    <row r="601" spans="11:11" s="368" customFormat="1">
      <c r="K601" s="1539"/>
    </row>
    <row r="602" spans="11:11" s="368" customFormat="1">
      <c r="K602" s="1539"/>
    </row>
    <row r="603" spans="11:11" s="368" customFormat="1">
      <c r="K603" s="1539"/>
    </row>
    <row r="604" spans="11:11" s="368" customFormat="1">
      <c r="K604" s="1539"/>
    </row>
    <row r="605" spans="11:11" s="368" customFormat="1">
      <c r="K605" s="1539"/>
    </row>
    <row r="606" spans="11:11" s="368" customFormat="1">
      <c r="K606" s="1539"/>
    </row>
    <row r="607" spans="11:11" s="368" customFormat="1">
      <c r="K607" s="1539"/>
    </row>
    <row r="608" spans="11:11" s="368" customFormat="1">
      <c r="K608" s="1539"/>
    </row>
    <row r="609" spans="11:11" s="368" customFormat="1">
      <c r="K609" s="1539"/>
    </row>
    <row r="610" spans="11:11" s="368" customFormat="1">
      <c r="K610" s="1539"/>
    </row>
    <row r="611" spans="11:11" s="368" customFormat="1">
      <c r="K611" s="1539"/>
    </row>
    <row r="612" spans="11:11" s="368" customFormat="1">
      <c r="K612" s="1539"/>
    </row>
    <row r="613" spans="11:11" s="368" customFormat="1">
      <c r="K613" s="1539"/>
    </row>
    <row r="614" spans="11:11" s="368" customFormat="1">
      <c r="K614" s="1539"/>
    </row>
    <row r="615" spans="11:11" s="368" customFormat="1">
      <c r="K615" s="1539"/>
    </row>
    <row r="616" spans="11:11" s="368" customFormat="1">
      <c r="K616" s="1539"/>
    </row>
    <row r="617" spans="11:11" s="368" customFormat="1">
      <c r="K617" s="1539"/>
    </row>
    <row r="618" spans="11:11" s="368" customFormat="1">
      <c r="K618" s="1539"/>
    </row>
    <row r="619" spans="11:11" s="368" customFormat="1">
      <c r="K619" s="1539"/>
    </row>
    <row r="620" spans="11:11" s="368" customFormat="1">
      <c r="K620" s="1539"/>
    </row>
    <row r="621" spans="11:11" s="368" customFormat="1">
      <c r="K621" s="1539"/>
    </row>
    <row r="622" spans="11:11" s="368" customFormat="1">
      <c r="K622" s="1539"/>
    </row>
    <row r="623" spans="11:11" s="368" customFormat="1">
      <c r="K623" s="1539"/>
    </row>
    <row r="624" spans="11:11" s="368" customFormat="1">
      <c r="K624" s="1539"/>
    </row>
    <row r="625" spans="11:11" s="368" customFormat="1">
      <c r="K625" s="1539"/>
    </row>
    <row r="626" spans="11:11" s="368" customFormat="1">
      <c r="K626" s="1539"/>
    </row>
    <row r="627" spans="11:11" s="368" customFormat="1">
      <c r="K627" s="1539"/>
    </row>
    <row r="628" spans="11:11" s="368" customFormat="1">
      <c r="K628" s="1539"/>
    </row>
    <row r="629" spans="11:11" s="368" customFormat="1">
      <c r="K629" s="1539"/>
    </row>
    <row r="630" spans="11:11" s="368" customFormat="1">
      <c r="K630" s="1539"/>
    </row>
    <row r="631" spans="11:11" s="368" customFormat="1">
      <c r="K631" s="1539"/>
    </row>
    <row r="632" spans="11:11" s="368" customFormat="1">
      <c r="K632" s="1539"/>
    </row>
    <row r="633" spans="11:11" s="368" customFormat="1">
      <c r="K633" s="1539"/>
    </row>
    <row r="634" spans="11:11" s="368" customFormat="1">
      <c r="K634" s="1539"/>
    </row>
    <row r="635" spans="11:11" s="368" customFormat="1">
      <c r="K635" s="1539"/>
    </row>
    <row r="636" spans="11:11" s="368" customFormat="1">
      <c r="K636" s="1539"/>
    </row>
    <row r="637" spans="11:11" s="368" customFormat="1">
      <c r="K637" s="1539"/>
    </row>
    <row r="638" spans="11:11" s="368" customFormat="1">
      <c r="K638" s="1539"/>
    </row>
    <row r="639" spans="11:11" s="368" customFormat="1">
      <c r="K639" s="1539"/>
    </row>
    <row r="640" spans="11:11" s="368" customFormat="1">
      <c r="K640" s="1539"/>
    </row>
    <row r="641" spans="11:11" s="368" customFormat="1">
      <c r="K641" s="1539"/>
    </row>
    <row r="642" spans="11:11" s="368" customFormat="1">
      <c r="K642" s="1539"/>
    </row>
    <row r="643" spans="11:11" s="368" customFormat="1">
      <c r="K643" s="1539"/>
    </row>
    <row r="644" spans="11:11" s="368" customFormat="1">
      <c r="K644" s="1539"/>
    </row>
    <row r="645" spans="11:11" s="368" customFormat="1">
      <c r="K645" s="1539"/>
    </row>
    <row r="646" spans="11:11" s="368" customFormat="1">
      <c r="K646" s="1539"/>
    </row>
    <row r="647" spans="11:11" s="368" customFormat="1">
      <c r="K647" s="1539"/>
    </row>
    <row r="648" spans="11:11" s="368" customFormat="1">
      <c r="K648" s="1539"/>
    </row>
    <row r="649" spans="11:11" s="368" customFormat="1">
      <c r="K649" s="1539"/>
    </row>
    <row r="650" spans="11:11" s="368" customFormat="1">
      <c r="K650" s="1539"/>
    </row>
    <row r="651" spans="11:11" s="368" customFormat="1">
      <c r="K651" s="1539"/>
    </row>
    <row r="652" spans="11:11" s="368" customFormat="1">
      <c r="K652" s="1539"/>
    </row>
    <row r="653" spans="11:11" s="368" customFormat="1">
      <c r="K653" s="1539"/>
    </row>
    <row r="654" spans="11:11" s="368" customFormat="1">
      <c r="K654" s="1539"/>
    </row>
    <row r="655" spans="11:11" s="368" customFormat="1">
      <c r="K655" s="1539"/>
    </row>
    <row r="656" spans="11:11" s="368" customFormat="1">
      <c r="K656" s="1539"/>
    </row>
    <row r="657" spans="11:11" s="368" customFormat="1">
      <c r="K657" s="1539"/>
    </row>
    <row r="658" spans="11:11" s="368" customFormat="1">
      <c r="K658" s="1539"/>
    </row>
    <row r="659" spans="11:11" s="368" customFormat="1">
      <c r="K659" s="1539"/>
    </row>
    <row r="660" spans="11:11" s="368" customFormat="1">
      <c r="K660" s="1539"/>
    </row>
    <row r="661" spans="11:11" s="368" customFormat="1">
      <c r="K661" s="1539"/>
    </row>
    <row r="662" spans="11:11" s="368" customFormat="1">
      <c r="K662" s="1539"/>
    </row>
    <row r="663" spans="11:11" s="368" customFormat="1">
      <c r="K663" s="1539"/>
    </row>
    <row r="664" spans="11:11" s="368" customFormat="1">
      <c r="K664" s="1539"/>
    </row>
    <row r="665" spans="11:11" s="368" customFormat="1">
      <c r="K665" s="1539"/>
    </row>
    <row r="666" spans="11:11" s="368" customFormat="1">
      <c r="K666" s="1539"/>
    </row>
    <row r="667" spans="11:11" s="368" customFormat="1">
      <c r="K667" s="1539"/>
    </row>
    <row r="668" spans="11:11" s="368" customFormat="1">
      <c r="K668" s="1539"/>
    </row>
    <row r="669" spans="11:11" s="368" customFormat="1">
      <c r="K669" s="1539"/>
    </row>
    <row r="670" spans="11:11" s="368" customFormat="1">
      <c r="K670" s="1539"/>
    </row>
    <row r="671" spans="11:11" s="368" customFormat="1">
      <c r="K671" s="1539"/>
    </row>
    <row r="672" spans="11:11" s="368" customFormat="1">
      <c r="K672" s="1539"/>
    </row>
    <row r="673" spans="11:11" s="368" customFormat="1">
      <c r="K673" s="1539"/>
    </row>
    <row r="674" spans="11:11" s="368" customFormat="1">
      <c r="K674" s="1539"/>
    </row>
    <row r="675" spans="11:11" s="368" customFormat="1">
      <c r="K675" s="1539"/>
    </row>
    <row r="676" spans="11:11" s="368" customFormat="1">
      <c r="K676" s="1539"/>
    </row>
    <row r="677" spans="11:11" s="368" customFormat="1">
      <c r="K677" s="1539"/>
    </row>
    <row r="678" spans="11:11" s="368" customFormat="1">
      <c r="K678" s="1539"/>
    </row>
    <row r="679" spans="11:11" s="368" customFormat="1">
      <c r="K679" s="1539"/>
    </row>
    <row r="680" spans="11:11" s="368" customFormat="1">
      <c r="K680" s="1539"/>
    </row>
    <row r="681" spans="11:11" s="368" customFormat="1">
      <c r="K681" s="1539"/>
    </row>
    <row r="682" spans="11:11" s="368" customFormat="1">
      <c r="K682" s="1539"/>
    </row>
    <row r="683" spans="11:11" s="368" customFormat="1">
      <c r="K683" s="1539"/>
    </row>
    <row r="684" spans="11:11" s="368" customFormat="1">
      <c r="K684" s="1539"/>
    </row>
    <row r="685" spans="11:11" s="368" customFormat="1">
      <c r="K685" s="1539"/>
    </row>
    <row r="686" spans="11:11" s="368" customFormat="1">
      <c r="K686" s="1539"/>
    </row>
    <row r="687" spans="11:11" s="368" customFormat="1">
      <c r="K687" s="1539"/>
    </row>
    <row r="688" spans="11:11" s="368" customFormat="1">
      <c r="K688" s="1539"/>
    </row>
    <row r="689" spans="11:11" s="368" customFormat="1">
      <c r="K689" s="1539"/>
    </row>
    <row r="690" spans="11:11" s="368" customFormat="1">
      <c r="K690" s="1539"/>
    </row>
    <row r="691" spans="11:11" s="368" customFormat="1">
      <c r="K691" s="1539"/>
    </row>
    <row r="692" spans="11:11" s="368" customFormat="1">
      <c r="K692" s="1539"/>
    </row>
    <row r="693" spans="11:11" s="368" customFormat="1">
      <c r="K693" s="1539"/>
    </row>
    <row r="694" spans="11:11" s="368" customFormat="1">
      <c r="K694" s="1539"/>
    </row>
    <row r="695" spans="11:11" s="368" customFormat="1">
      <c r="K695" s="1539"/>
    </row>
    <row r="696" spans="11:11" s="368" customFormat="1">
      <c r="K696" s="1539"/>
    </row>
    <row r="697" spans="11:11" s="368" customFormat="1">
      <c r="K697" s="1539"/>
    </row>
    <row r="698" spans="11:11" s="368" customFormat="1">
      <c r="K698" s="1539"/>
    </row>
    <row r="699" spans="11:11" s="368" customFormat="1">
      <c r="K699" s="1539"/>
    </row>
    <row r="700" spans="11:11" s="368" customFormat="1">
      <c r="K700" s="1539"/>
    </row>
    <row r="701" spans="11:11" s="368" customFormat="1">
      <c r="K701" s="1539"/>
    </row>
    <row r="702" spans="11:11" s="368" customFormat="1">
      <c r="K702" s="1539"/>
    </row>
    <row r="703" spans="11:11" s="368" customFormat="1">
      <c r="K703" s="1539"/>
    </row>
    <row r="704" spans="11:11" s="368" customFormat="1">
      <c r="K704" s="1539"/>
    </row>
    <row r="705" spans="11:11" s="368" customFormat="1">
      <c r="K705" s="1539"/>
    </row>
    <row r="706" spans="11:11" s="368" customFormat="1">
      <c r="K706" s="1539"/>
    </row>
    <row r="707" spans="11:11" s="368" customFormat="1">
      <c r="K707" s="1539"/>
    </row>
    <row r="708" spans="11:11" s="368" customFormat="1">
      <c r="K708" s="1539"/>
    </row>
    <row r="709" spans="11:11" s="368" customFormat="1">
      <c r="K709" s="1539"/>
    </row>
    <row r="710" spans="11:11" s="368" customFormat="1">
      <c r="K710" s="1539"/>
    </row>
    <row r="711" spans="11:11" s="368" customFormat="1">
      <c r="K711" s="1539"/>
    </row>
    <row r="712" spans="11:11" s="368" customFormat="1">
      <c r="K712" s="1539"/>
    </row>
    <row r="713" spans="11:11" s="368" customFormat="1">
      <c r="K713" s="1539"/>
    </row>
    <row r="714" spans="11:11" s="368" customFormat="1">
      <c r="K714" s="1539"/>
    </row>
    <row r="715" spans="11:11" s="368" customFormat="1">
      <c r="K715" s="1539"/>
    </row>
    <row r="716" spans="11:11" s="368" customFormat="1">
      <c r="K716" s="1539"/>
    </row>
    <row r="717" spans="11:11" s="368" customFormat="1">
      <c r="K717" s="1539"/>
    </row>
    <row r="718" spans="11:11" s="368" customFormat="1">
      <c r="K718" s="1539"/>
    </row>
    <row r="719" spans="11:11" s="368" customFormat="1">
      <c r="K719" s="1539"/>
    </row>
    <row r="720" spans="11:11" s="368" customFormat="1">
      <c r="K720" s="1539"/>
    </row>
    <row r="721" spans="11:11" s="368" customFormat="1">
      <c r="K721" s="1539"/>
    </row>
    <row r="722" spans="11:11" s="368" customFormat="1">
      <c r="K722" s="1539"/>
    </row>
    <row r="723" spans="11:11" s="368" customFormat="1">
      <c r="K723" s="1539"/>
    </row>
    <row r="724" spans="11:11" s="368" customFormat="1">
      <c r="K724" s="1539"/>
    </row>
    <row r="725" spans="11:11" s="368" customFormat="1">
      <c r="K725" s="1539"/>
    </row>
    <row r="726" spans="11:11" s="368" customFormat="1">
      <c r="K726" s="1539"/>
    </row>
    <row r="727" spans="11:11" s="368" customFormat="1">
      <c r="K727" s="1539"/>
    </row>
    <row r="728" spans="11:11" s="368" customFormat="1">
      <c r="K728" s="1539"/>
    </row>
    <row r="729" spans="11:11" s="368" customFormat="1">
      <c r="K729" s="1539"/>
    </row>
    <row r="730" spans="11:11" s="368" customFormat="1">
      <c r="K730" s="1539"/>
    </row>
    <row r="731" spans="11:11" s="368" customFormat="1">
      <c r="K731" s="1539"/>
    </row>
    <row r="732" spans="11:11" s="368" customFormat="1">
      <c r="K732" s="1539"/>
    </row>
    <row r="733" spans="11:11" s="368" customFormat="1">
      <c r="K733" s="1539"/>
    </row>
    <row r="734" spans="11:11" s="368" customFormat="1">
      <c r="K734" s="1539"/>
    </row>
    <row r="735" spans="11:11" s="368" customFormat="1">
      <c r="K735" s="1539"/>
    </row>
    <row r="736" spans="11:11" s="368" customFormat="1">
      <c r="K736" s="1539"/>
    </row>
    <row r="737" spans="11:11" s="368" customFormat="1">
      <c r="K737" s="1539"/>
    </row>
    <row r="738" spans="11:11" s="368" customFormat="1">
      <c r="K738" s="1539"/>
    </row>
    <row r="739" spans="11:11" s="368" customFormat="1">
      <c r="K739" s="1539"/>
    </row>
    <row r="740" spans="11:11" s="368" customFormat="1">
      <c r="K740" s="1539"/>
    </row>
    <row r="741" spans="11:11" s="368" customFormat="1">
      <c r="K741" s="1539"/>
    </row>
    <row r="742" spans="11:11" s="368" customFormat="1">
      <c r="K742" s="1539"/>
    </row>
    <row r="743" spans="11:11" s="368" customFormat="1">
      <c r="K743" s="1539"/>
    </row>
    <row r="744" spans="11:11" s="368" customFormat="1">
      <c r="K744" s="1539"/>
    </row>
    <row r="745" spans="11:11" s="368" customFormat="1">
      <c r="K745" s="1539"/>
    </row>
    <row r="746" spans="11:11" s="368" customFormat="1">
      <c r="K746" s="1539"/>
    </row>
    <row r="747" spans="11:11" s="368" customFormat="1">
      <c r="K747" s="1539"/>
    </row>
    <row r="748" spans="11:11" s="368" customFormat="1">
      <c r="K748" s="1539"/>
    </row>
    <row r="749" spans="11:11" s="368" customFormat="1">
      <c r="K749" s="1539"/>
    </row>
    <row r="750" spans="11:11" s="368" customFormat="1">
      <c r="K750" s="1539"/>
    </row>
    <row r="751" spans="11:11" s="368" customFormat="1">
      <c r="K751" s="1539"/>
    </row>
    <row r="752" spans="11:11" s="368" customFormat="1">
      <c r="K752" s="1539"/>
    </row>
    <row r="753" spans="11:11" s="368" customFormat="1">
      <c r="K753" s="1539"/>
    </row>
    <row r="754" spans="11:11" s="368" customFormat="1">
      <c r="K754" s="1539"/>
    </row>
    <row r="755" spans="11:11" s="368" customFormat="1">
      <c r="K755" s="1539"/>
    </row>
    <row r="756" spans="11:11" s="368" customFormat="1">
      <c r="K756" s="1539"/>
    </row>
    <row r="757" spans="11:11" s="368" customFormat="1">
      <c r="K757" s="1539"/>
    </row>
    <row r="758" spans="11:11" s="368" customFormat="1">
      <c r="K758" s="1539"/>
    </row>
    <row r="759" spans="11:11" s="368" customFormat="1">
      <c r="K759" s="1539"/>
    </row>
    <row r="760" spans="11:11" s="368" customFormat="1">
      <c r="K760" s="1539"/>
    </row>
    <row r="761" spans="11:11" s="368" customFormat="1">
      <c r="K761" s="1539"/>
    </row>
    <row r="762" spans="11:11" s="368" customFormat="1">
      <c r="K762" s="1539"/>
    </row>
    <row r="763" spans="11:11" s="368" customFormat="1">
      <c r="K763" s="1539"/>
    </row>
    <row r="764" spans="11:11" s="368" customFormat="1">
      <c r="K764" s="1539"/>
    </row>
    <row r="765" spans="11:11" s="368" customFormat="1">
      <c r="K765" s="1539"/>
    </row>
    <row r="766" spans="11:11" s="368" customFormat="1">
      <c r="K766" s="1539"/>
    </row>
    <row r="767" spans="11:11" s="368" customFormat="1">
      <c r="K767" s="1539"/>
    </row>
    <row r="768" spans="11:11" s="368" customFormat="1">
      <c r="K768" s="1539"/>
    </row>
    <row r="769" spans="11:11" s="368" customFormat="1">
      <c r="K769" s="1539"/>
    </row>
    <row r="770" spans="11:11" s="368" customFormat="1">
      <c r="K770" s="1539"/>
    </row>
    <row r="771" spans="11:11" s="368" customFormat="1">
      <c r="K771" s="1539"/>
    </row>
    <row r="772" spans="11:11" s="368" customFormat="1">
      <c r="K772" s="1539"/>
    </row>
    <row r="773" spans="11:11" s="368" customFormat="1">
      <c r="K773" s="1539"/>
    </row>
    <row r="774" spans="11:11" s="368" customFormat="1">
      <c r="K774" s="1539"/>
    </row>
    <row r="775" spans="11:11" s="368" customFormat="1">
      <c r="K775" s="1539"/>
    </row>
    <row r="776" spans="11:11" s="368" customFormat="1">
      <c r="K776" s="1539"/>
    </row>
    <row r="777" spans="11:11" s="368" customFormat="1">
      <c r="K777" s="1539"/>
    </row>
    <row r="778" spans="11:11" s="368" customFormat="1">
      <c r="K778" s="1539"/>
    </row>
    <row r="779" spans="11:11" s="368" customFormat="1">
      <c r="K779" s="1539"/>
    </row>
    <row r="780" spans="11:11" s="368" customFormat="1">
      <c r="K780" s="1539"/>
    </row>
    <row r="781" spans="11:11" s="368" customFormat="1">
      <c r="K781" s="1539"/>
    </row>
    <row r="782" spans="11:11" s="368" customFormat="1">
      <c r="K782" s="1539"/>
    </row>
    <row r="783" spans="11:11" s="368" customFormat="1">
      <c r="K783" s="1539"/>
    </row>
    <row r="784" spans="11:11" s="368" customFormat="1">
      <c r="K784" s="1539"/>
    </row>
    <row r="785" spans="11:11" s="368" customFormat="1">
      <c r="K785" s="1539"/>
    </row>
    <row r="786" spans="11:11" s="368" customFormat="1">
      <c r="K786" s="1539"/>
    </row>
    <row r="787" spans="11:11" s="368" customFormat="1">
      <c r="K787" s="1539"/>
    </row>
    <row r="788" spans="11:11" s="368" customFormat="1">
      <c r="K788" s="1539"/>
    </row>
    <row r="789" spans="11:11" s="368" customFormat="1">
      <c r="K789" s="1539"/>
    </row>
    <row r="790" spans="11:11" s="368" customFormat="1">
      <c r="K790" s="1539"/>
    </row>
    <row r="791" spans="11:11" s="368" customFormat="1">
      <c r="K791" s="1539"/>
    </row>
    <row r="792" spans="11:11" s="368" customFormat="1">
      <c r="K792" s="1539"/>
    </row>
    <row r="793" spans="11:11" s="368" customFormat="1">
      <c r="K793" s="1539"/>
    </row>
    <row r="794" spans="11:11" s="368" customFormat="1">
      <c r="K794" s="1539"/>
    </row>
    <row r="795" spans="11:11" s="368" customFormat="1">
      <c r="K795" s="1539"/>
    </row>
    <row r="796" spans="11:11" s="368" customFormat="1">
      <c r="K796" s="1539"/>
    </row>
    <row r="797" spans="11:11" s="368" customFormat="1">
      <c r="K797" s="1539"/>
    </row>
    <row r="798" spans="11:11" s="368" customFormat="1">
      <c r="K798" s="1539"/>
    </row>
    <row r="799" spans="11:11" s="368" customFormat="1">
      <c r="K799" s="1539"/>
    </row>
    <row r="800" spans="11:11" s="368" customFormat="1">
      <c r="K800" s="1539"/>
    </row>
    <row r="801" spans="11:11" s="368" customFormat="1">
      <c r="K801" s="1539"/>
    </row>
    <row r="802" spans="11:11" s="368" customFormat="1">
      <c r="K802" s="1539"/>
    </row>
    <row r="803" spans="11:11" s="368" customFormat="1">
      <c r="K803" s="1539"/>
    </row>
    <row r="804" spans="11:11" s="368" customFormat="1">
      <c r="K804" s="1539"/>
    </row>
    <row r="805" spans="11:11" s="368" customFormat="1">
      <c r="K805" s="1539"/>
    </row>
    <row r="806" spans="11:11" s="368" customFormat="1">
      <c r="K806" s="1539"/>
    </row>
    <row r="807" spans="11:11" s="368" customFormat="1">
      <c r="K807" s="1539"/>
    </row>
    <row r="808" spans="11:11" s="368" customFormat="1">
      <c r="K808" s="1539"/>
    </row>
    <row r="809" spans="11:11" s="368" customFormat="1">
      <c r="K809" s="1539"/>
    </row>
    <row r="810" spans="11:11" s="368" customFormat="1">
      <c r="K810" s="1539"/>
    </row>
    <row r="811" spans="11:11" s="368" customFormat="1">
      <c r="K811" s="1539"/>
    </row>
    <row r="812" spans="11:11" s="368" customFormat="1">
      <c r="K812" s="1539"/>
    </row>
    <row r="813" spans="11:11" s="368" customFormat="1">
      <c r="K813" s="1539"/>
    </row>
    <row r="814" spans="11:11" s="368" customFormat="1">
      <c r="K814" s="1539"/>
    </row>
    <row r="815" spans="11:11" s="368" customFormat="1">
      <c r="K815" s="1539"/>
    </row>
    <row r="816" spans="11:11" s="368" customFormat="1">
      <c r="K816" s="1539"/>
    </row>
    <row r="817" spans="11:11" s="368" customFormat="1">
      <c r="K817" s="1539"/>
    </row>
    <row r="818" spans="11:11" s="368" customFormat="1">
      <c r="K818" s="1539"/>
    </row>
    <row r="819" spans="11:11" s="368" customFormat="1">
      <c r="K819" s="1539"/>
    </row>
    <row r="820" spans="11:11" s="368" customFormat="1">
      <c r="K820" s="1539"/>
    </row>
    <row r="821" spans="11:11" s="368" customFormat="1">
      <c r="K821" s="1539"/>
    </row>
    <row r="822" spans="11:11" s="368" customFormat="1">
      <c r="K822" s="1539"/>
    </row>
    <row r="823" spans="11:11" s="368" customFormat="1">
      <c r="K823" s="1539"/>
    </row>
    <row r="824" spans="11:11" s="368" customFormat="1">
      <c r="K824" s="1539"/>
    </row>
    <row r="825" spans="11:11" s="368" customFormat="1">
      <c r="K825" s="1539"/>
    </row>
    <row r="826" spans="11:11" s="368" customFormat="1">
      <c r="K826" s="1539"/>
    </row>
    <row r="827" spans="11:11" s="368" customFormat="1">
      <c r="K827" s="1539"/>
    </row>
    <row r="828" spans="11:11" s="368" customFormat="1">
      <c r="K828" s="1539"/>
    </row>
    <row r="829" spans="11:11" s="368" customFormat="1">
      <c r="K829" s="1539"/>
    </row>
    <row r="830" spans="11:11" s="368" customFormat="1">
      <c r="K830" s="1539"/>
    </row>
    <row r="831" spans="11:11" s="368" customFormat="1">
      <c r="K831" s="1539"/>
    </row>
    <row r="832" spans="11:11" s="368" customFormat="1">
      <c r="K832" s="1539"/>
    </row>
    <row r="833" spans="11:11" s="368" customFormat="1">
      <c r="K833" s="1539"/>
    </row>
    <row r="834" spans="11:11" s="368" customFormat="1">
      <c r="K834" s="1539"/>
    </row>
    <row r="835" spans="11:11" s="368" customFormat="1">
      <c r="K835" s="1539"/>
    </row>
    <row r="836" spans="11:11" s="368" customFormat="1">
      <c r="K836" s="1539"/>
    </row>
    <row r="837" spans="11:11" s="368" customFormat="1">
      <c r="K837" s="1539"/>
    </row>
    <row r="838" spans="11:11" s="368" customFormat="1">
      <c r="K838" s="1539"/>
    </row>
    <row r="839" spans="11:11" s="368" customFormat="1">
      <c r="K839" s="1539"/>
    </row>
    <row r="840" spans="11:11" s="368" customFormat="1">
      <c r="K840" s="1539"/>
    </row>
    <row r="841" spans="11:11" s="368" customFormat="1">
      <c r="K841" s="1539"/>
    </row>
    <row r="842" spans="11:11" s="368" customFormat="1">
      <c r="K842" s="1539"/>
    </row>
    <row r="843" spans="11:11" s="368" customFormat="1">
      <c r="K843" s="1539"/>
    </row>
    <row r="844" spans="11:11" s="368" customFormat="1">
      <c r="K844" s="1539"/>
    </row>
    <row r="845" spans="11:11" s="368" customFormat="1">
      <c r="K845" s="1539"/>
    </row>
    <row r="846" spans="11:11" s="368" customFormat="1">
      <c r="K846" s="1539"/>
    </row>
    <row r="847" spans="11:11" s="368" customFormat="1">
      <c r="K847" s="1539"/>
    </row>
    <row r="848" spans="11:11" s="368" customFormat="1">
      <c r="K848" s="1539"/>
    </row>
    <row r="849" spans="11:11" s="368" customFormat="1">
      <c r="K849" s="1539"/>
    </row>
    <row r="850" spans="11:11" s="368" customFormat="1">
      <c r="K850" s="1539"/>
    </row>
    <row r="851" spans="11:11" s="368" customFormat="1">
      <c r="K851" s="1539"/>
    </row>
    <row r="852" spans="11:11" s="368" customFormat="1">
      <c r="K852" s="1539"/>
    </row>
    <row r="853" spans="11:11" s="368" customFormat="1">
      <c r="K853" s="1539"/>
    </row>
    <row r="854" spans="11:11" s="368" customFormat="1">
      <c r="K854" s="1539"/>
    </row>
    <row r="855" spans="11:11" s="368" customFormat="1">
      <c r="K855" s="1539"/>
    </row>
    <row r="856" spans="11:11" s="368" customFormat="1">
      <c r="K856" s="1539"/>
    </row>
    <row r="857" spans="11:11" s="368" customFormat="1">
      <c r="K857" s="1539"/>
    </row>
    <row r="858" spans="11:11" s="368" customFormat="1">
      <c r="K858" s="1539"/>
    </row>
    <row r="859" spans="11:11" s="368" customFormat="1">
      <c r="K859" s="1539"/>
    </row>
    <row r="860" spans="11:11" s="368" customFormat="1">
      <c r="K860" s="1539"/>
    </row>
    <row r="861" spans="11:11" s="368" customFormat="1">
      <c r="K861" s="1539"/>
    </row>
    <row r="862" spans="11:11" s="368" customFormat="1">
      <c r="K862" s="1539"/>
    </row>
    <row r="863" spans="11:11" s="368" customFormat="1">
      <c r="K863" s="1539"/>
    </row>
    <row r="864" spans="11:11" s="368" customFormat="1">
      <c r="K864" s="1539"/>
    </row>
    <row r="865" spans="11:11" s="368" customFormat="1">
      <c r="K865" s="1539"/>
    </row>
    <row r="866" spans="11:11" s="368" customFormat="1">
      <c r="K866" s="1539"/>
    </row>
    <row r="867" spans="11:11" s="368" customFormat="1">
      <c r="K867" s="1539"/>
    </row>
    <row r="868" spans="11:11" s="368" customFormat="1">
      <c r="K868" s="1539"/>
    </row>
    <row r="869" spans="11:11" s="368" customFormat="1">
      <c r="K869" s="1539"/>
    </row>
    <row r="870" spans="11:11" s="368" customFormat="1">
      <c r="K870" s="1539"/>
    </row>
    <row r="871" spans="11:11" s="368" customFormat="1">
      <c r="K871" s="1539"/>
    </row>
    <row r="872" spans="11:11" s="368" customFormat="1">
      <c r="K872" s="1539"/>
    </row>
    <row r="873" spans="11:11" s="368" customFormat="1">
      <c r="K873" s="1539"/>
    </row>
    <row r="874" spans="11:11" s="368" customFormat="1">
      <c r="K874" s="1539"/>
    </row>
    <row r="875" spans="11:11" s="368" customFormat="1">
      <c r="K875" s="1539"/>
    </row>
    <row r="876" spans="11:11" s="368" customFormat="1">
      <c r="K876" s="1539"/>
    </row>
    <row r="877" spans="11:11" s="368" customFormat="1">
      <c r="K877" s="1539"/>
    </row>
    <row r="878" spans="11:11" s="368" customFormat="1">
      <c r="K878" s="1539"/>
    </row>
    <row r="879" spans="11:11" s="368" customFormat="1">
      <c r="K879" s="1539"/>
    </row>
    <row r="880" spans="11:11" s="368" customFormat="1">
      <c r="K880" s="1539"/>
    </row>
    <row r="881" spans="11:11" s="368" customFormat="1">
      <c r="K881" s="1539"/>
    </row>
    <row r="882" spans="11:11" s="368" customFormat="1">
      <c r="K882" s="1539"/>
    </row>
    <row r="883" spans="11:11" s="368" customFormat="1">
      <c r="K883" s="1539"/>
    </row>
    <row r="884" spans="11:11" s="368" customFormat="1">
      <c r="K884" s="1539"/>
    </row>
    <row r="885" spans="11:11" s="368" customFormat="1">
      <c r="K885" s="1539"/>
    </row>
    <row r="886" spans="11:11" s="368" customFormat="1">
      <c r="K886" s="1539"/>
    </row>
    <row r="887" spans="11:11" s="368" customFormat="1">
      <c r="K887" s="1539"/>
    </row>
    <row r="888" spans="11:11" s="368" customFormat="1">
      <c r="K888" s="1539"/>
    </row>
    <row r="889" spans="11:11" s="368" customFormat="1">
      <c r="K889" s="1539"/>
    </row>
    <row r="890" spans="11:11" s="368" customFormat="1">
      <c r="K890" s="1539"/>
    </row>
    <row r="891" spans="11:11" s="368" customFormat="1">
      <c r="K891" s="1539"/>
    </row>
    <row r="892" spans="11:11" s="368" customFormat="1">
      <c r="K892" s="1539"/>
    </row>
    <row r="893" spans="11:11" s="368" customFormat="1">
      <c r="K893" s="1539"/>
    </row>
    <row r="894" spans="11:11" s="368" customFormat="1">
      <c r="K894" s="1539"/>
    </row>
    <row r="895" spans="11:11" s="368" customFormat="1">
      <c r="K895" s="1539"/>
    </row>
    <row r="896" spans="11:11" s="368" customFormat="1">
      <c r="K896" s="1539"/>
    </row>
    <row r="897" spans="11:11" s="368" customFormat="1">
      <c r="K897" s="1539"/>
    </row>
    <row r="898" spans="11:11" s="368" customFormat="1">
      <c r="K898" s="1539"/>
    </row>
    <row r="899" spans="11:11" s="368" customFormat="1">
      <c r="K899" s="1539"/>
    </row>
    <row r="900" spans="11:11" s="368" customFormat="1">
      <c r="K900" s="1539"/>
    </row>
    <row r="901" spans="11:11" s="368" customFormat="1">
      <c r="K901" s="1539"/>
    </row>
    <row r="902" spans="11:11" s="368" customFormat="1">
      <c r="K902" s="1539"/>
    </row>
    <row r="903" spans="11:11" s="368" customFormat="1">
      <c r="K903" s="1539"/>
    </row>
    <row r="904" spans="11:11" s="368" customFormat="1">
      <c r="K904" s="1539"/>
    </row>
    <row r="905" spans="11:11" s="368" customFormat="1">
      <c r="K905" s="1539"/>
    </row>
    <row r="906" spans="11:11" s="368" customFormat="1">
      <c r="K906" s="1539"/>
    </row>
    <row r="907" spans="11:11" s="368" customFormat="1">
      <c r="K907" s="1539"/>
    </row>
    <row r="908" spans="11:11" s="368" customFormat="1">
      <c r="K908" s="1539"/>
    </row>
    <row r="909" spans="11:11" s="368" customFormat="1">
      <c r="K909" s="1539"/>
    </row>
    <row r="910" spans="11:11" s="368" customFormat="1">
      <c r="K910" s="1539"/>
    </row>
    <row r="911" spans="11:11" s="368" customFormat="1">
      <c r="K911" s="1539"/>
    </row>
    <row r="912" spans="11:11" s="368" customFormat="1">
      <c r="K912" s="1539"/>
    </row>
    <row r="913" spans="11:11" s="368" customFormat="1">
      <c r="K913" s="1539"/>
    </row>
    <row r="914" spans="11:11" s="368" customFormat="1">
      <c r="K914" s="1539"/>
    </row>
    <row r="915" spans="11:11" s="368" customFormat="1">
      <c r="K915" s="1539"/>
    </row>
    <row r="916" spans="11:11" s="368" customFormat="1">
      <c r="K916" s="1539"/>
    </row>
    <row r="917" spans="11:11" s="368" customFormat="1">
      <c r="K917" s="1539"/>
    </row>
    <row r="918" spans="11:11" s="368" customFormat="1">
      <c r="K918" s="1539"/>
    </row>
    <row r="919" spans="11:11" s="368" customFormat="1">
      <c r="K919" s="1539"/>
    </row>
    <row r="920" spans="11:11" s="368" customFormat="1">
      <c r="K920" s="1539"/>
    </row>
    <row r="921" spans="11:11" s="368" customFormat="1">
      <c r="K921" s="1539"/>
    </row>
    <row r="922" spans="11:11" s="368" customFormat="1">
      <c r="K922" s="1539"/>
    </row>
    <row r="923" spans="11:11" s="368" customFormat="1">
      <c r="K923" s="1539"/>
    </row>
    <row r="924" spans="11:11" s="368" customFormat="1">
      <c r="K924" s="1539"/>
    </row>
    <row r="925" spans="11:11" s="368" customFormat="1">
      <c r="K925" s="1539"/>
    </row>
    <row r="926" spans="11:11" s="368" customFormat="1">
      <c r="K926" s="1539"/>
    </row>
    <row r="927" spans="11:11" s="368" customFormat="1">
      <c r="K927" s="1539"/>
    </row>
    <row r="928" spans="11:11" s="368" customFormat="1">
      <c r="K928" s="1539"/>
    </row>
    <row r="929" spans="11:11" s="368" customFormat="1">
      <c r="K929" s="1539"/>
    </row>
    <row r="930" spans="11:11" s="368" customFormat="1">
      <c r="K930" s="1539"/>
    </row>
    <row r="931" spans="11:11" s="368" customFormat="1">
      <c r="K931" s="1539"/>
    </row>
    <row r="932" spans="11:11" s="368" customFormat="1">
      <c r="K932" s="1539"/>
    </row>
    <row r="933" spans="11:11" s="368" customFormat="1">
      <c r="K933" s="1539"/>
    </row>
    <row r="934" spans="11:11" s="368" customFormat="1">
      <c r="K934" s="1539"/>
    </row>
    <row r="935" spans="11:11" s="368" customFormat="1">
      <c r="K935" s="1539"/>
    </row>
    <row r="936" spans="11:11" s="368" customFormat="1">
      <c r="K936" s="1539"/>
    </row>
    <row r="937" spans="11:11" s="368" customFormat="1">
      <c r="K937" s="1539"/>
    </row>
    <row r="938" spans="11:11" s="368" customFormat="1">
      <c r="K938" s="1539"/>
    </row>
    <row r="939" spans="11:11" s="368" customFormat="1">
      <c r="K939" s="1539"/>
    </row>
    <row r="940" spans="11:11" s="368" customFormat="1">
      <c r="K940" s="1539"/>
    </row>
    <row r="941" spans="11:11" s="368" customFormat="1">
      <c r="K941" s="1539"/>
    </row>
    <row r="942" spans="11:11" s="368" customFormat="1">
      <c r="K942" s="1539"/>
    </row>
    <row r="943" spans="11:11" s="368" customFormat="1">
      <c r="K943" s="1539"/>
    </row>
    <row r="944" spans="11:11" s="368" customFormat="1">
      <c r="K944" s="1539"/>
    </row>
    <row r="945" spans="11:11" s="368" customFormat="1">
      <c r="K945" s="1539"/>
    </row>
    <row r="946" spans="11:11" s="368" customFormat="1">
      <c r="K946" s="1539"/>
    </row>
    <row r="947" spans="11:11" s="368" customFormat="1">
      <c r="K947" s="1539"/>
    </row>
    <row r="948" spans="11:11" s="368" customFormat="1">
      <c r="K948" s="1539"/>
    </row>
    <row r="949" spans="11:11" s="368" customFormat="1">
      <c r="K949" s="1539"/>
    </row>
    <row r="950" spans="11:11" s="368" customFormat="1">
      <c r="K950" s="1539"/>
    </row>
    <row r="951" spans="11:11" s="368" customFormat="1">
      <c r="K951" s="1539"/>
    </row>
    <row r="952" spans="11:11" s="368" customFormat="1">
      <c r="K952" s="1539"/>
    </row>
    <row r="953" spans="11:11" s="368" customFormat="1">
      <c r="K953" s="1539"/>
    </row>
    <row r="954" spans="11:11" s="368" customFormat="1">
      <c r="K954" s="1539"/>
    </row>
    <row r="955" spans="11:11" s="368" customFormat="1">
      <c r="K955" s="1539"/>
    </row>
    <row r="956" spans="11:11" s="368" customFormat="1">
      <c r="K956" s="1539"/>
    </row>
    <row r="957" spans="11:11" s="368" customFormat="1">
      <c r="K957" s="1539"/>
    </row>
    <row r="958" spans="11:11" s="368" customFormat="1">
      <c r="K958" s="1539"/>
    </row>
    <row r="959" spans="11:11" s="368" customFormat="1">
      <c r="K959" s="1539"/>
    </row>
    <row r="960" spans="11:11" s="368" customFormat="1">
      <c r="K960" s="1539"/>
    </row>
    <row r="961" spans="11:11" s="368" customFormat="1">
      <c r="K961" s="1539"/>
    </row>
    <row r="962" spans="11:11" s="368" customFormat="1">
      <c r="K962" s="1539"/>
    </row>
    <row r="963" spans="11:11" s="368" customFormat="1">
      <c r="K963" s="1539"/>
    </row>
    <row r="964" spans="11:11" s="368" customFormat="1">
      <c r="K964" s="1539"/>
    </row>
    <row r="965" spans="11:11" s="368" customFormat="1">
      <c r="K965" s="1539"/>
    </row>
    <row r="966" spans="11:11" s="368" customFormat="1">
      <c r="K966" s="1539"/>
    </row>
    <row r="967" spans="11:11" s="368" customFormat="1">
      <c r="K967" s="1539"/>
    </row>
    <row r="968" spans="11:11" s="368" customFormat="1">
      <c r="K968" s="1539"/>
    </row>
    <row r="969" spans="11:11" s="368" customFormat="1">
      <c r="K969" s="1539"/>
    </row>
    <row r="970" spans="11:11" s="368" customFormat="1">
      <c r="K970" s="1539"/>
    </row>
    <row r="971" spans="11:11" s="368" customFormat="1">
      <c r="K971" s="1539"/>
    </row>
    <row r="972" spans="11:11" s="368" customFormat="1">
      <c r="K972" s="1539"/>
    </row>
    <row r="973" spans="11:11" s="368" customFormat="1">
      <c r="K973" s="1539"/>
    </row>
    <row r="974" spans="11:11" s="368" customFormat="1">
      <c r="K974" s="1539"/>
    </row>
    <row r="975" spans="11:11" s="368" customFormat="1">
      <c r="K975" s="1539"/>
    </row>
    <row r="976" spans="11:11" s="368" customFormat="1">
      <c r="K976" s="1539"/>
    </row>
    <row r="977" spans="11:11" s="368" customFormat="1">
      <c r="K977" s="1539"/>
    </row>
    <row r="978" spans="11:11" s="368" customFormat="1">
      <c r="K978" s="1539"/>
    </row>
    <row r="979" spans="11:11" s="368" customFormat="1">
      <c r="K979" s="1539"/>
    </row>
    <row r="980" spans="11:11" s="368" customFormat="1">
      <c r="K980" s="1539"/>
    </row>
    <row r="981" spans="11:11" s="368" customFormat="1">
      <c r="K981" s="1539"/>
    </row>
    <row r="982" spans="11:11" s="368" customFormat="1">
      <c r="K982" s="1539"/>
    </row>
    <row r="983" spans="11:11" s="368" customFormat="1">
      <c r="K983" s="1539"/>
    </row>
    <row r="984" spans="11:11" s="368" customFormat="1">
      <c r="K984" s="1539"/>
    </row>
    <row r="985" spans="11:11" s="368" customFormat="1">
      <c r="K985" s="1539"/>
    </row>
    <row r="986" spans="11:11" s="368" customFormat="1">
      <c r="K986" s="1539"/>
    </row>
    <row r="987" spans="11:11" s="368" customFormat="1">
      <c r="K987" s="1539"/>
    </row>
    <row r="988" spans="11:11" s="368" customFormat="1">
      <c r="K988" s="1539"/>
    </row>
    <row r="989" spans="11:11" s="368" customFormat="1">
      <c r="K989" s="1539"/>
    </row>
    <row r="990" spans="11:11" s="368" customFormat="1">
      <c r="K990" s="1539"/>
    </row>
    <row r="991" spans="11:11" s="368" customFormat="1">
      <c r="K991" s="1539"/>
    </row>
    <row r="992" spans="11:11" s="368" customFormat="1">
      <c r="K992" s="1539"/>
    </row>
    <row r="993" spans="11:11" s="368" customFormat="1">
      <c r="K993" s="1539"/>
    </row>
    <row r="994" spans="11:11" s="368" customFormat="1">
      <c r="K994" s="1539"/>
    </row>
    <row r="995" spans="11:11" s="368" customFormat="1">
      <c r="K995" s="1539"/>
    </row>
    <row r="996" spans="11:11" s="368" customFormat="1">
      <c r="K996" s="1539"/>
    </row>
    <row r="997" spans="11:11" s="368" customFormat="1">
      <c r="K997" s="1539"/>
    </row>
    <row r="998" spans="11:11" s="368" customFormat="1">
      <c r="K998" s="1539"/>
    </row>
    <row r="999" spans="11:11" s="368" customFormat="1">
      <c r="K999" s="1539"/>
    </row>
    <row r="1000" spans="11:11" s="368" customFormat="1">
      <c r="K1000" s="1539"/>
    </row>
    <row r="1001" spans="11:11" s="368" customFormat="1">
      <c r="K1001" s="1539"/>
    </row>
    <row r="1002" spans="11:11" s="368" customFormat="1">
      <c r="K1002" s="1539"/>
    </row>
    <row r="1003" spans="11:11" s="368" customFormat="1">
      <c r="K1003" s="1539"/>
    </row>
    <row r="1004" spans="11:11" s="368" customFormat="1">
      <c r="K1004" s="1539"/>
    </row>
    <row r="1005" spans="11:11" s="368" customFormat="1">
      <c r="K1005" s="1539"/>
    </row>
    <row r="1006" spans="11:11" s="368" customFormat="1">
      <c r="K1006" s="1539"/>
    </row>
    <row r="1007" spans="11:11" s="368" customFormat="1">
      <c r="K1007" s="1539"/>
    </row>
    <row r="1008" spans="11:11" s="368" customFormat="1">
      <c r="K1008" s="1539"/>
    </row>
    <row r="1009" spans="11:11" s="368" customFormat="1">
      <c r="K1009" s="1539"/>
    </row>
    <row r="1010" spans="11:11" s="368" customFormat="1">
      <c r="K1010" s="1539"/>
    </row>
    <row r="1011" spans="11:11" s="368" customFormat="1">
      <c r="K1011" s="1539"/>
    </row>
    <row r="1012" spans="11:11" s="368" customFormat="1">
      <c r="K1012" s="1539"/>
    </row>
    <row r="1013" spans="11:11" s="368" customFormat="1">
      <c r="K1013" s="1539"/>
    </row>
    <row r="1014" spans="11:11" s="368" customFormat="1">
      <c r="K1014" s="1539"/>
    </row>
    <row r="1015" spans="11:11" s="368" customFormat="1">
      <c r="K1015" s="1539"/>
    </row>
    <row r="1016" spans="11:11" s="368" customFormat="1">
      <c r="K1016" s="1539"/>
    </row>
    <row r="1017" spans="11:11" s="368" customFormat="1">
      <c r="K1017" s="1539"/>
    </row>
    <row r="1018" spans="11:11" s="368" customFormat="1">
      <c r="K1018" s="1539"/>
    </row>
    <row r="1019" spans="11:11" s="368" customFormat="1">
      <c r="K1019" s="1539"/>
    </row>
    <row r="1020" spans="11:11" s="368" customFormat="1">
      <c r="K1020" s="1539"/>
    </row>
    <row r="1021" spans="11:11" s="368" customFormat="1">
      <c r="K1021" s="1539"/>
    </row>
    <row r="1022" spans="11:11" s="368" customFormat="1">
      <c r="K1022" s="1539"/>
    </row>
    <row r="1023" spans="11:11" s="368" customFormat="1">
      <c r="K1023" s="1539"/>
    </row>
    <row r="1024" spans="11:11" s="368" customFormat="1">
      <c r="K1024" s="1539"/>
    </row>
    <row r="1025" spans="11:11" s="368" customFormat="1">
      <c r="K1025" s="1539"/>
    </row>
    <row r="1026" spans="11:11" s="368" customFormat="1">
      <c r="K1026" s="1539"/>
    </row>
    <row r="1027" spans="11:11" s="368" customFormat="1">
      <c r="K1027" s="1539"/>
    </row>
    <row r="1028" spans="11:11" s="368" customFormat="1">
      <c r="K1028" s="1539"/>
    </row>
    <row r="1029" spans="11:11" s="368" customFormat="1">
      <c r="K1029" s="1539"/>
    </row>
    <row r="1030" spans="11:11" s="368" customFormat="1">
      <c r="K1030" s="1539"/>
    </row>
    <row r="1031" spans="11:11" s="368" customFormat="1">
      <c r="K1031" s="1539"/>
    </row>
    <row r="1032" spans="11:11" s="368" customFormat="1">
      <c r="K1032" s="1539"/>
    </row>
    <row r="1033" spans="11:11" s="368" customFormat="1">
      <c r="K1033" s="1539"/>
    </row>
    <row r="1034" spans="11:11" s="368" customFormat="1">
      <c r="K1034" s="1539"/>
    </row>
    <row r="1035" spans="11:11" s="368" customFormat="1">
      <c r="K1035" s="1539"/>
    </row>
    <row r="1036" spans="11:11" s="368" customFormat="1">
      <c r="K1036" s="1539"/>
    </row>
    <row r="1037" spans="11:11" s="368" customFormat="1">
      <c r="K1037" s="1539"/>
    </row>
    <row r="1038" spans="11:11" s="368" customFormat="1">
      <c r="K1038" s="1539"/>
    </row>
    <row r="1039" spans="11:11" s="368" customFormat="1">
      <c r="K1039" s="1539"/>
    </row>
    <row r="1040" spans="11:11" s="368" customFormat="1">
      <c r="K1040" s="1539"/>
    </row>
    <row r="1041" spans="11:11" s="368" customFormat="1">
      <c r="K1041" s="1539"/>
    </row>
    <row r="1042" spans="11:11" s="368" customFormat="1">
      <c r="K1042" s="1539"/>
    </row>
    <row r="1043" spans="11:11" s="368" customFormat="1">
      <c r="K1043" s="1539"/>
    </row>
    <row r="1044" spans="11:11" s="368" customFormat="1">
      <c r="K1044" s="1539"/>
    </row>
    <row r="1045" spans="11:11" s="368" customFormat="1">
      <c r="K1045" s="1539"/>
    </row>
    <row r="1046" spans="11:11" s="368" customFormat="1">
      <c r="K1046" s="1539"/>
    </row>
    <row r="1047" spans="11:11" s="368" customFormat="1">
      <c r="K1047" s="1539"/>
    </row>
    <row r="1048" spans="11:11" s="368" customFormat="1">
      <c r="K1048" s="1539"/>
    </row>
    <row r="1049" spans="11:11" s="368" customFormat="1">
      <c r="K1049" s="1539"/>
    </row>
    <row r="1050" spans="11:11" s="368" customFormat="1">
      <c r="K1050" s="1539"/>
    </row>
    <row r="1051" spans="11:11" s="368" customFormat="1">
      <c r="K1051" s="1539"/>
    </row>
    <row r="1052" spans="11:11" s="368" customFormat="1">
      <c r="K1052" s="1539"/>
    </row>
    <row r="1053" spans="11:11" s="368" customFormat="1">
      <c r="K1053" s="1539"/>
    </row>
    <row r="1054" spans="11:11" s="368" customFormat="1">
      <c r="K1054" s="1539"/>
    </row>
    <row r="1055" spans="11:11" s="368" customFormat="1">
      <c r="K1055" s="1539"/>
    </row>
    <row r="1056" spans="11:11" s="368" customFormat="1">
      <c r="K1056" s="1539"/>
    </row>
    <row r="1057" spans="11:11" s="368" customFormat="1">
      <c r="K1057" s="1539"/>
    </row>
    <row r="1058" spans="11:11" s="368" customFormat="1">
      <c r="K1058" s="1539"/>
    </row>
    <row r="1059" spans="11:11" s="368" customFormat="1">
      <c r="K1059" s="1539"/>
    </row>
    <row r="1060" spans="11:11" s="368" customFormat="1">
      <c r="K1060" s="1539"/>
    </row>
    <row r="1061" spans="11:11" s="368" customFormat="1">
      <c r="K1061" s="1539"/>
    </row>
    <row r="1062" spans="11:11" s="368" customFormat="1">
      <c r="K1062" s="1539"/>
    </row>
    <row r="1063" spans="11:11" s="368" customFormat="1">
      <c r="K1063" s="1539"/>
    </row>
    <row r="1064" spans="11:11" s="368" customFormat="1">
      <c r="K1064" s="1539"/>
    </row>
    <row r="1065" spans="11:11" s="368" customFormat="1">
      <c r="K1065" s="1539"/>
    </row>
    <row r="1066" spans="11:11" s="368" customFormat="1">
      <c r="K1066" s="1539"/>
    </row>
    <row r="1067" spans="11:11" s="368" customFormat="1">
      <c r="K1067" s="1539"/>
    </row>
    <row r="1068" spans="11:11" s="368" customFormat="1">
      <c r="K1068" s="1539"/>
    </row>
    <row r="1069" spans="11:11" s="368" customFormat="1">
      <c r="K1069" s="1539"/>
    </row>
    <row r="1070" spans="11:11" s="368" customFormat="1">
      <c r="K1070" s="1539"/>
    </row>
    <row r="1071" spans="11:11" s="368" customFormat="1">
      <c r="K1071" s="1539"/>
    </row>
    <row r="1072" spans="11:11" s="368" customFormat="1">
      <c r="K1072" s="1539"/>
    </row>
    <row r="1073" spans="11:11" s="368" customFormat="1">
      <c r="K1073" s="1539"/>
    </row>
    <row r="1074" spans="11:11" s="368" customFormat="1">
      <c r="K1074" s="1539"/>
    </row>
    <row r="1075" spans="11:11" s="368" customFormat="1">
      <c r="K1075" s="1539"/>
    </row>
    <row r="1076" spans="11:11" s="368" customFormat="1">
      <c r="K1076" s="1539"/>
    </row>
    <row r="1077" spans="11:11" s="368" customFormat="1">
      <c r="K1077" s="1539"/>
    </row>
    <row r="1078" spans="11:11" s="368" customFormat="1">
      <c r="K1078" s="1539"/>
    </row>
    <row r="1079" spans="11:11" s="368" customFormat="1">
      <c r="K1079" s="1539"/>
    </row>
    <row r="1080" spans="11:11" s="368" customFormat="1">
      <c r="K1080" s="1539"/>
    </row>
    <row r="1081" spans="11:11" s="368" customFormat="1">
      <c r="K1081" s="1539"/>
    </row>
    <row r="1082" spans="11:11" s="368" customFormat="1">
      <c r="K1082" s="1539"/>
    </row>
    <row r="1083" spans="11:11" s="368" customFormat="1">
      <c r="K1083" s="1539"/>
    </row>
    <row r="1084" spans="11:11" s="368" customFormat="1">
      <c r="K1084" s="1539"/>
    </row>
    <row r="1085" spans="11:11" s="368" customFormat="1">
      <c r="K1085" s="1539"/>
    </row>
    <row r="1086" spans="11:11" s="368" customFormat="1">
      <c r="K1086" s="1539"/>
    </row>
    <row r="1087" spans="11:11" s="368" customFormat="1">
      <c r="K1087" s="1539"/>
    </row>
    <row r="1088" spans="11:11" s="368" customFormat="1">
      <c r="K1088" s="1539"/>
    </row>
    <row r="1089" spans="11:11" s="368" customFormat="1">
      <c r="K1089" s="1539"/>
    </row>
    <row r="1090" spans="11:11" s="368" customFormat="1">
      <c r="K1090" s="1539"/>
    </row>
    <row r="1091" spans="11:11" s="368" customFormat="1">
      <c r="K1091" s="1539"/>
    </row>
    <row r="1092" spans="11:11" s="368" customFormat="1">
      <c r="K1092" s="1539"/>
    </row>
    <row r="1093" spans="11:11" s="368" customFormat="1">
      <c r="K1093" s="1539"/>
    </row>
    <row r="1094" spans="11:11" s="368" customFormat="1">
      <c r="K1094" s="1539"/>
    </row>
    <row r="1095" spans="11:11" s="368" customFormat="1">
      <c r="K1095" s="1539"/>
    </row>
    <row r="1096" spans="11:11" s="368" customFormat="1">
      <c r="K1096" s="1539"/>
    </row>
    <row r="1097" spans="11:11" s="368" customFormat="1">
      <c r="K1097" s="1539"/>
    </row>
    <row r="1098" spans="11:11" s="368" customFormat="1">
      <c r="K1098" s="1539"/>
    </row>
    <row r="1099" spans="11:11" s="368" customFormat="1">
      <c r="K1099" s="1539"/>
    </row>
    <row r="1100" spans="11:11" s="368" customFormat="1">
      <c r="K1100" s="1539"/>
    </row>
    <row r="1101" spans="11:11" s="368" customFormat="1">
      <c r="K1101" s="1539"/>
    </row>
    <row r="1102" spans="11:11" s="368" customFormat="1">
      <c r="K1102" s="1539"/>
    </row>
    <row r="1103" spans="11:11" s="368" customFormat="1">
      <c r="K1103" s="1539"/>
    </row>
    <row r="1104" spans="11:11" s="368" customFormat="1">
      <c r="K1104" s="1539"/>
    </row>
    <row r="1105" spans="11:11" s="368" customFormat="1">
      <c r="K1105" s="1539"/>
    </row>
    <row r="1106" spans="11:11" s="368" customFormat="1">
      <c r="K1106" s="1539"/>
    </row>
    <row r="1107" spans="11:11" s="368" customFormat="1">
      <c r="K1107" s="1539"/>
    </row>
    <row r="1108" spans="11:11" s="368" customFormat="1">
      <c r="K1108" s="1539"/>
    </row>
    <row r="1109" spans="11:11" s="368" customFormat="1">
      <c r="K1109" s="1539"/>
    </row>
    <row r="1110" spans="11:11" s="368" customFormat="1">
      <c r="K1110" s="1539"/>
    </row>
    <row r="1111" spans="11:11" s="368" customFormat="1">
      <c r="K1111" s="1539"/>
    </row>
    <row r="1112" spans="11:11" s="368" customFormat="1">
      <c r="K1112" s="1539"/>
    </row>
    <row r="1113" spans="11:11" s="368" customFormat="1">
      <c r="K1113" s="1539"/>
    </row>
    <row r="1114" spans="11:11" s="368" customFormat="1">
      <c r="K1114" s="1539"/>
    </row>
    <row r="1115" spans="11:11" s="368" customFormat="1">
      <c r="K1115" s="1539"/>
    </row>
    <row r="1116" spans="11:11" s="368" customFormat="1">
      <c r="K1116" s="1539"/>
    </row>
    <row r="1117" spans="11:11" s="368" customFormat="1">
      <c r="K1117" s="1539"/>
    </row>
    <row r="1118" spans="11:11" s="368" customFormat="1">
      <c r="K1118" s="1539"/>
    </row>
    <row r="1119" spans="11:11" s="368" customFormat="1">
      <c r="K1119" s="1539"/>
    </row>
    <row r="1120" spans="11:11" s="368" customFormat="1">
      <c r="K1120" s="1539"/>
    </row>
    <row r="1121" spans="11:11" s="368" customFormat="1">
      <c r="K1121" s="1539"/>
    </row>
    <row r="1122" spans="11:11" s="368" customFormat="1">
      <c r="K1122" s="1539"/>
    </row>
    <row r="1123" spans="11:11" s="368" customFormat="1">
      <c r="K1123" s="1539"/>
    </row>
    <row r="1124" spans="11:11" s="368" customFormat="1">
      <c r="K1124" s="1539"/>
    </row>
    <row r="1125" spans="11:11" s="368" customFormat="1">
      <c r="K1125" s="1539"/>
    </row>
    <row r="1126" spans="11:11" s="368" customFormat="1">
      <c r="K1126" s="1539"/>
    </row>
    <row r="1127" spans="11:11" s="368" customFormat="1">
      <c r="K1127" s="1539"/>
    </row>
    <row r="1128" spans="11:11" s="368" customFormat="1">
      <c r="K1128" s="1539"/>
    </row>
    <row r="1129" spans="11:11" s="368" customFormat="1">
      <c r="K1129" s="1539"/>
    </row>
    <row r="1130" spans="11:11" s="368" customFormat="1">
      <c r="K1130" s="1539"/>
    </row>
    <row r="1131" spans="11:11" s="368" customFormat="1">
      <c r="K1131" s="1539"/>
    </row>
    <row r="1132" spans="11:11" s="368" customFormat="1">
      <c r="K1132" s="1539"/>
    </row>
    <row r="1133" spans="11:11" s="368" customFormat="1">
      <c r="K1133" s="1539"/>
    </row>
    <row r="1134" spans="11:11" s="368" customFormat="1">
      <c r="K1134" s="1539"/>
    </row>
    <row r="1135" spans="11:11" s="368" customFormat="1">
      <c r="K1135" s="1539"/>
    </row>
    <row r="1136" spans="11:11" s="368" customFormat="1">
      <c r="K1136" s="1539"/>
    </row>
    <row r="1137" spans="11:11" s="368" customFormat="1">
      <c r="K1137" s="1539"/>
    </row>
    <row r="1138" spans="11:11" s="368" customFormat="1">
      <c r="K1138" s="1539"/>
    </row>
    <row r="1139" spans="11:11" s="368" customFormat="1">
      <c r="K1139" s="1539"/>
    </row>
    <row r="1140" spans="11:11" s="368" customFormat="1">
      <c r="K1140" s="1539"/>
    </row>
    <row r="1141" spans="11:11" s="368" customFormat="1">
      <c r="K1141" s="1539"/>
    </row>
    <row r="1142" spans="11:11" s="368" customFormat="1">
      <c r="K1142" s="1539"/>
    </row>
    <row r="1143" spans="11:11" s="368" customFormat="1">
      <c r="K1143" s="1539"/>
    </row>
    <row r="1144" spans="11:11" s="368" customFormat="1">
      <c r="K1144" s="1539"/>
    </row>
    <row r="1145" spans="11:11" s="368" customFormat="1">
      <c r="K1145" s="1539"/>
    </row>
    <row r="1146" spans="11:11" s="368" customFormat="1">
      <c r="K1146" s="1539"/>
    </row>
    <row r="1147" spans="11:11" s="368" customFormat="1">
      <c r="K1147" s="1539"/>
    </row>
    <row r="1148" spans="11:11" s="368" customFormat="1">
      <c r="K1148" s="1539"/>
    </row>
    <row r="1149" spans="11:11" s="368" customFormat="1">
      <c r="K1149" s="1539"/>
    </row>
    <row r="1150" spans="11:11" s="368" customFormat="1">
      <c r="K1150" s="1539"/>
    </row>
    <row r="1151" spans="11:11" s="368" customFormat="1">
      <c r="K1151" s="1539"/>
    </row>
    <row r="1152" spans="11:11" s="368" customFormat="1">
      <c r="K1152" s="1539"/>
    </row>
    <row r="1153" spans="11:11" s="368" customFormat="1">
      <c r="K1153" s="1539"/>
    </row>
    <row r="1154" spans="11:11" s="368" customFormat="1">
      <c r="K1154" s="1539"/>
    </row>
    <row r="1155" spans="11:11" s="368" customFormat="1">
      <c r="K1155" s="1539"/>
    </row>
    <row r="1156" spans="11:11" s="368" customFormat="1">
      <c r="K1156" s="1539"/>
    </row>
    <row r="1157" spans="11:11" s="368" customFormat="1">
      <c r="K1157" s="1539"/>
    </row>
    <row r="1158" spans="11:11" s="368" customFormat="1">
      <c r="K1158" s="1539"/>
    </row>
    <row r="1159" spans="11:11" s="368" customFormat="1">
      <c r="K1159" s="1539"/>
    </row>
    <row r="1160" spans="11:11" s="368" customFormat="1">
      <c r="K1160" s="1539"/>
    </row>
    <row r="1161" spans="11:11" s="368" customFormat="1">
      <c r="K1161" s="1539"/>
    </row>
    <row r="1162" spans="11:11" s="368" customFormat="1">
      <c r="K1162" s="1539"/>
    </row>
    <row r="1163" spans="11:11" s="368" customFormat="1">
      <c r="K1163" s="1539"/>
    </row>
    <row r="1164" spans="11:11" s="368" customFormat="1">
      <c r="K1164" s="1539"/>
    </row>
    <row r="1165" spans="11:11" s="368" customFormat="1">
      <c r="K1165" s="1539"/>
    </row>
    <row r="1166" spans="11:11" s="368" customFormat="1">
      <c r="K1166" s="1539"/>
    </row>
    <row r="1167" spans="11:11" s="368" customFormat="1">
      <c r="K1167" s="1539"/>
    </row>
    <row r="1168" spans="11:11" s="368" customFormat="1">
      <c r="K1168" s="1539"/>
    </row>
    <row r="1169" spans="11:11" s="368" customFormat="1">
      <c r="K1169" s="1539"/>
    </row>
    <row r="1170" spans="11:11" s="368" customFormat="1">
      <c r="K1170" s="1539"/>
    </row>
    <row r="1171" spans="11:11" s="368" customFormat="1">
      <c r="K1171" s="1539"/>
    </row>
    <row r="1172" spans="11:11" s="368" customFormat="1">
      <c r="K1172" s="1539"/>
    </row>
    <row r="1173" spans="11:11" s="368" customFormat="1">
      <c r="K1173" s="1539"/>
    </row>
    <row r="1174" spans="11:11" s="368" customFormat="1">
      <c r="K1174" s="1539"/>
    </row>
    <row r="1175" spans="11:11" s="368" customFormat="1">
      <c r="K1175" s="1539"/>
    </row>
    <row r="1176" spans="11:11" s="368" customFormat="1">
      <c r="K1176" s="1539"/>
    </row>
    <row r="1177" spans="11:11" s="368" customFormat="1">
      <c r="K1177" s="1539"/>
    </row>
    <row r="1178" spans="11:11" s="368" customFormat="1">
      <c r="K1178" s="1539"/>
    </row>
    <row r="1179" spans="11:11" s="368" customFormat="1">
      <c r="K1179" s="1539"/>
    </row>
    <row r="1180" spans="11:11" s="368" customFormat="1">
      <c r="K1180" s="1539"/>
    </row>
    <row r="1181" spans="11:11" s="368" customFormat="1">
      <c r="K1181" s="1539"/>
    </row>
    <row r="1182" spans="11:11" s="368" customFormat="1">
      <c r="K1182" s="1539"/>
    </row>
    <row r="1183" spans="11:11" s="368" customFormat="1">
      <c r="K1183" s="1539"/>
    </row>
    <row r="1184" spans="11:11" s="368" customFormat="1">
      <c r="K1184" s="1539"/>
    </row>
    <row r="1185" spans="11:11" s="368" customFormat="1">
      <c r="K1185" s="1539"/>
    </row>
    <row r="1186" spans="11:11" s="368" customFormat="1">
      <c r="K1186" s="1539"/>
    </row>
    <row r="1187" spans="11:11" s="368" customFormat="1">
      <c r="K1187" s="1539"/>
    </row>
    <row r="1188" spans="11:11" s="368" customFormat="1">
      <c r="K1188" s="1539"/>
    </row>
    <row r="1189" spans="11:11" s="368" customFormat="1">
      <c r="K1189" s="1539"/>
    </row>
    <row r="1190" spans="11:11" s="368" customFormat="1">
      <c r="K1190" s="1539"/>
    </row>
    <row r="1191" spans="11:11" s="368" customFormat="1">
      <c r="K1191" s="1539"/>
    </row>
    <row r="1192" spans="11:11" s="368" customFormat="1">
      <c r="K1192" s="1539"/>
    </row>
    <row r="1193" spans="11:11" s="368" customFormat="1">
      <c r="K1193" s="1539"/>
    </row>
    <row r="1194" spans="11:11" s="368" customFormat="1">
      <c r="K1194" s="1539"/>
    </row>
    <row r="1195" spans="11:11" s="368" customFormat="1">
      <c r="K1195" s="1539"/>
    </row>
    <row r="1196" spans="11:11" s="368" customFormat="1">
      <c r="K1196" s="1539"/>
    </row>
    <row r="1197" spans="11:11" s="368" customFormat="1">
      <c r="K1197" s="1539"/>
    </row>
    <row r="1198" spans="11:11" s="368" customFormat="1">
      <c r="K1198" s="1539"/>
    </row>
    <row r="1199" spans="11:11" s="368" customFormat="1">
      <c r="K1199" s="1539"/>
    </row>
    <row r="1200" spans="11:11" s="368" customFormat="1">
      <c r="K1200" s="1539"/>
    </row>
    <row r="1201" spans="11:11" s="368" customFormat="1">
      <c r="K1201" s="1539"/>
    </row>
    <row r="1202" spans="11:11" s="368" customFormat="1">
      <c r="K1202" s="1539"/>
    </row>
    <row r="1203" spans="11:11" s="368" customFormat="1">
      <c r="K1203" s="1539"/>
    </row>
    <row r="1204" spans="11:11" s="368" customFormat="1">
      <c r="K1204" s="1539"/>
    </row>
    <row r="1205" spans="11:11" s="368" customFormat="1">
      <c r="K1205" s="1539"/>
    </row>
    <row r="1206" spans="11:11" s="368" customFormat="1">
      <c r="K1206" s="1539"/>
    </row>
    <row r="1207" spans="11:11" s="368" customFormat="1">
      <c r="K1207" s="1539"/>
    </row>
    <row r="1208" spans="11:11" s="368" customFormat="1">
      <c r="K1208" s="1539"/>
    </row>
    <row r="1209" spans="11:11" s="368" customFormat="1">
      <c r="K1209" s="1539"/>
    </row>
    <row r="1210" spans="11:11" s="368" customFormat="1">
      <c r="K1210" s="1539"/>
    </row>
    <row r="1211" spans="11:11" s="368" customFormat="1">
      <c r="K1211" s="1539"/>
    </row>
    <row r="1212" spans="11:11" s="368" customFormat="1">
      <c r="K1212" s="1539"/>
    </row>
    <row r="1213" spans="11:11" s="368" customFormat="1">
      <c r="K1213" s="1539"/>
    </row>
    <row r="1214" spans="11:11" s="368" customFormat="1">
      <c r="K1214" s="1539"/>
    </row>
    <row r="1215" spans="11:11" s="368" customFormat="1">
      <c r="K1215" s="1539"/>
    </row>
    <row r="1216" spans="11:11" s="368" customFormat="1">
      <c r="K1216" s="1539"/>
    </row>
    <row r="1217" spans="11:11" s="368" customFormat="1">
      <c r="K1217" s="1539"/>
    </row>
    <row r="1218" spans="11:11" s="368" customFormat="1">
      <c r="K1218" s="1539"/>
    </row>
    <row r="1219" spans="11:11" s="368" customFormat="1">
      <c r="K1219" s="1539"/>
    </row>
    <row r="1220" spans="11:11" s="368" customFormat="1">
      <c r="K1220" s="1539"/>
    </row>
    <row r="1221" spans="11:11" s="368" customFormat="1">
      <c r="K1221" s="1539"/>
    </row>
    <row r="1222" spans="11:11" s="368" customFormat="1">
      <c r="K1222" s="1539"/>
    </row>
    <row r="1223" spans="11:11" s="368" customFormat="1">
      <c r="K1223" s="1539"/>
    </row>
    <row r="1224" spans="11:11" s="368" customFormat="1">
      <c r="K1224" s="1539"/>
    </row>
    <row r="1225" spans="11:11" s="368" customFormat="1">
      <c r="K1225" s="1539"/>
    </row>
    <row r="1226" spans="11:11" s="368" customFormat="1">
      <c r="K1226" s="1539"/>
    </row>
    <row r="1227" spans="11:11" s="368" customFormat="1">
      <c r="K1227" s="1539"/>
    </row>
    <row r="1228" spans="11:11" s="368" customFormat="1">
      <c r="K1228" s="1539"/>
    </row>
    <row r="1229" spans="11:11" s="368" customFormat="1">
      <c r="K1229" s="1539"/>
    </row>
    <row r="1230" spans="11:11" s="368" customFormat="1">
      <c r="K1230" s="1539"/>
    </row>
    <row r="1231" spans="11:11" s="368" customFormat="1">
      <c r="K1231" s="1539"/>
    </row>
    <row r="1232" spans="11:11" s="368" customFormat="1">
      <c r="K1232" s="1539"/>
    </row>
    <row r="1233" spans="11:11" s="368" customFormat="1">
      <c r="K1233" s="1539"/>
    </row>
    <row r="1234" spans="11:11" s="368" customFormat="1">
      <c r="K1234" s="1539"/>
    </row>
    <row r="1235" spans="11:11" s="368" customFormat="1">
      <c r="K1235" s="1539"/>
    </row>
    <row r="1236" spans="11:11" s="368" customFormat="1">
      <c r="K1236" s="1539"/>
    </row>
    <row r="1237" spans="11:11" s="368" customFormat="1">
      <c r="K1237" s="1539"/>
    </row>
    <row r="1238" spans="11:11" s="368" customFormat="1">
      <c r="K1238" s="1539"/>
    </row>
    <row r="1239" spans="11:11" s="368" customFormat="1">
      <c r="K1239" s="1539"/>
    </row>
    <row r="1240" spans="11:11" s="368" customFormat="1">
      <c r="K1240" s="1539"/>
    </row>
    <row r="1241" spans="11:11" s="368" customFormat="1">
      <c r="K1241" s="1539"/>
    </row>
    <row r="1242" spans="11:11" s="368" customFormat="1">
      <c r="K1242" s="1539"/>
    </row>
    <row r="1243" spans="11:11" s="368" customFormat="1">
      <c r="K1243" s="1539"/>
    </row>
    <row r="1244" spans="11:11" s="368" customFormat="1">
      <c r="K1244" s="1539"/>
    </row>
    <row r="1245" spans="11:11" s="368" customFormat="1">
      <c r="K1245" s="1539"/>
    </row>
    <row r="1246" spans="11:11" s="368" customFormat="1">
      <c r="K1246" s="1539"/>
    </row>
    <row r="1247" spans="11:11" s="368" customFormat="1">
      <c r="K1247" s="1539"/>
    </row>
    <row r="1248" spans="11:11" s="368" customFormat="1">
      <c r="K1248" s="1539"/>
    </row>
    <row r="1249" spans="11:11" s="368" customFormat="1">
      <c r="K1249" s="1539"/>
    </row>
    <row r="1250" spans="11:11" s="368" customFormat="1">
      <c r="K1250" s="1539"/>
    </row>
    <row r="1251" spans="11:11" s="368" customFormat="1">
      <c r="K1251" s="1539"/>
    </row>
    <row r="1252" spans="11:11" s="368" customFormat="1">
      <c r="K1252" s="1539"/>
    </row>
    <row r="1253" spans="11:11" s="368" customFormat="1">
      <c r="K1253" s="1539"/>
    </row>
    <row r="1254" spans="11:11" s="368" customFormat="1">
      <c r="K1254" s="1539"/>
    </row>
    <row r="1255" spans="11:11" s="368" customFormat="1">
      <c r="K1255" s="1539"/>
    </row>
    <row r="1256" spans="11:11" s="368" customFormat="1">
      <c r="K1256" s="1539"/>
    </row>
    <row r="1257" spans="11:11" s="368" customFormat="1">
      <c r="K1257" s="1539"/>
    </row>
    <row r="1258" spans="11:11" s="368" customFormat="1">
      <c r="K1258" s="1539"/>
    </row>
    <row r="1259" spans="11:11" s="368" customFormat="1">
      <c r="K1259" s="1539"/>
    </row>
    <row r="1260" spans="11:11" s="368" customFormat="1">
      <c r="K1260" s="1539"/>
    </row>
    <row r="1261" spans="11:11" s="368" customFormat="1">
      <c r="K1261" s="1539"/>
    </row>
    <row r="1262" spans="11:11" s="368" customFormat="1">
      <c r="K1262" s="1539"/>
    </row>
  </sheetData>
  <mergeCells count="470">
    <mergeCell ref="N161:N163"/>
    <mergeCell ref="O161:O163"/>
    <mergeCell ref="N196:N197"/>
    <mergeCell ref="O196:O197"/>
    <mergeCell ref="O132:O134"/>
    <mergeCell ref="N141:N145"/>
    <mergeCell ref="O141:O145"/>
    <mergeCell ref="N148:N149"/>
    <mergeCell ref="O148:O149"/>
    <mergeCell ref="N190:N192"/>
    <mergeCell ref="A9:H9"/>
    <mergeCell ref="N201:N204"/>
    <mergeCell ref="O201:O204"/>
    <mergeCell ref="N164:N167"/>
    <mergeCell ref="O164:O167"/>
    <mergeCell ref="N171:N173"/>
    <mergeCell ref="O171:O173"/>
    <mergeCell ref="N174:N177"/>
    <mergeCell ref="O174:O177"/>
    <mergeCell ref="N178:N181"/>
    <mergeCell ref="O178:O181"/>
    <mergeCell ref="N187:N189"/>
    <mergeCell ref="O187:O189"/>
    <mergeCell ref="O190:O192"/>
    <mergeCell ref="N155:N157"/>
    <mergeCell ref="O155:O157"/>
    <mergeCell ref="N159:N160"/>
    <mergeCell ref="O159:O160"/>
    <mergeCell ref="M198:M200"/>
    <mergeCell ref="M155:M157"/>
    <mergeCell ref="M129:M131"/>
    <mergeCell ref="H13:H14"/>
    <mergeCell ref="N13:O13"/>
    <mergeCell ref="N16:N21"/>
    <mergeCell ref="A226:D226"/>
    <mergeCell ref="N35:N37"/>
    <mergeCell ref="O35:O37"/>
    <mergeCell ref="N38:N40"/>
    <mergeCell ref="O38:O40"/>
    <mergeCell ref="N45:N46"/>
    <mergeCell ref="O45:O46"/>
    <mergeCell ref="N47:N48"/>
    <mergeCell ref="O47:O48"/>
    <mergeCell ref="N57:N58"/>
    <mergeCell ref="O57:O58"/>
    <mergeCell ref="N59:N61"/>
    <mergeCell ref="O59:O61"/>
    <mergeCell ref="N81:N83"/>
    <mergeCell ref="O81:O83"/>
    <mergeCell ref="N96:N97"/>
    <mergeCell ref="O96:O97"/>
    <mergeCell ref="N101:N102"/>
    <mergeCell ref="O101:O102"/>
    <mergeCell ref="N104:N106"/>
    <mergeCell ref="O104:O106"/>
    <mergeCell ref="N107:N108"/>
    <mergeCell ref="A215:D215"/>
    <mergeCell ref="A216:D216"/>
    <mergeCell ref="A217:D217"/>
    <mergeCell ref="A220:D220"/>
    <mergeCell ref="A221:D221"/>
    <mergeCell ref="A222:D222"/>
    <mergeCell ref="A223:D223"/>
    <mergeCell ref="A224:D224"/>
    <mergeCell ref="A225:D225"/>
    <mergeCell ref="F13:F14"/>
    <mergeCell ref="G13:G14"/>
    <mergeCell ref="B101:B102"/>
    <mergeCell ref="B96:B97"/>
    <mergeCell ref="A141:A145"/>
    <mergeCell ref="A208:A210"/>
    <mergeCell ref="B208:B210"/>
    <mergeCell ref="C208:C210"/>
    <mergeCell ref="A22:A27"/>
    <mergeCell ref="B22:B27"/>
    <mergeCell ref="C22:C27"/>
    <mergeCell ref="A35:A37"/>
    <mergeCell ref="A38:A40"/>
    <mergeCell ref="A28:A32"/>
    <mergeCell ref="B28:B32"/>
    <mergeCell ref="B35:B37"/>
    <mergeCell ref="C35:C37"/>
    <mergeCell ref="K81:K83"/>
    <mergeCell ref="K57:K58"/>
    <mergeCell ref="L35:L37"/>
    <mergeCell ref="M35:M37"/>
    <mergeCell ref="M43:M44"/>
    <mergeCell ref="N43:N44"/>
    <mergeCell ref="O43:O44"/>
    <mergeCell ref="K41:K44"/>
    <mergeCell ref="M81:M83"/>
    <mergeCell ref="K59:K61"/>
    <mergeCell ref="M59:M61"/>
    <mergeCell ref="L59:L61"/>
    <mergeCell ref="L57:L58"/>
    <mergeCell ref="M57:M58"/>
    <mergeCell ref="N198:N200"/>
    <mergeCell ref="O198:O200"/>
    <mergeCell ref="N125:N126"/>
    <mergeCell ref="O125:O126"/>
    <mergeCell ref="N127:N128"/>
    <mergeCell ref="O127:O128"/>
    <mergeCell ref="N132:N134"/>
    <mergeCell ref="C101:C102"/>
    <mergeCell ref="C96:C97"/>
    <mergeCell ref="K107:K108"/>
    <mergeCell ref="K104:K106"/>
    <mergeCell ref="K120:K122"/>
    <mergeCell ref="J193:J195"/>
    <mergeCell ref="C187:C189"/>
    <mergeCell ref="K187:K189"/>
    <mergeCell ref="L187:L189"/>
    <mergeCell ref="M190:M192"/>
    <mergeCell ref="M187:M189"/>
    <mergeCell ref="L101:L102"/>
    <mergeCell ref="M101:M102"/>
    <mergeCell ref="O107:O108"/>
    <mergeCell ref="K101:K102"/>
    <mergeCell ref="L127:L128"/>
    <mergeCell ref="L129:L131"/>
    <mergeCell ref="J81:J83"/>
    <mergeCell ref="J96:J97"/>
    <mergeCell ref="J101:J102"/>
    <mergeCell ref="A1:O1"/>
    <mergeCell ref="A12:O12"/>
    <mergeCell ref="J141:J145"/>
    <mergeCell ref="A2:O2"/>
    <mergeCell ref="M47:M48"/>
    <mergeCell ref="J59:J61"/>
    <mergeCell ref="B38:B40"/>
    <mergeCell ref="C38:C40"/>
    <mergeCell ref="K38:K40"/>
    <mergeCell ref="L38:L40"/>
    <mergeCell ref="L41:L44"/>
    <mergeCell ref="A45:A46"/>
    <mergeCell ref="J57:J58"/>
    <mergeCell ref="J35:J48"/>
    <mergeCell ref="K96:K97"/>
    <mergeCell ref="M96:M97"/>
    <mergeCell ref="L96:L97"/>
    <mergeCell ref="L81:L83"/>
    <mergeCell ref="J104:J106"/>
    <mergeCell ref="J107:J108"/>
    <mergeCell ref="M104:M106"/>
    <mergeCell ref="B107:B108"/>
    <mergeCell ref="C107:C108"/>
    <mergeCell ref="L123:L124"/>
    <mergeCell ref="L107:L108"/>
    <mergeCell ref="M107:M108"/>
    <mergeCell ref="J148:J157"/>
    <mergeCell ref="C135:C138"/>
    <mergeCell ref="B141:B145"/>
    <mergeCell ref="C141:C145"/>
    <mergeCell ref="C146:C147"/>
    <mergeCell ref="J132:J138"/>
    <mergeCell ref="B123:B124"/>
    <mergeCell ref="C123:C124"/>
    <mergeCell ref="J125:J131"/>
    <mergeCell ref="J123:J124"/>
    <mergeCell ref="B125:B126"/>
    <mergeCell ref="C125:C126"/>
    <mergeCell ref="C129:C131"/>
    <mergeCell ref="B111:B113"/>
    <mergeCell ref="C111:C113"/>
    <mergeCell ref="B120:B122"/>
    <mergeCell ref="C120:C122"/>
    <mergeCell ref="B132:B134"/>
    <mergeCell ref="C132:C134"/>
    <mergeCell ref="A115:A116"/>
    <mergeCell ref="A111:A113"/>
    <mergeCell ref="A120:A122"/>
    <mergeCell ref="A132:A134"/>
    <mergeCell ref="A135:A138"/>
    <mergeCell ref="A127:A128"/>
    <mergeCell ref="A129:A131"/>
    <mergeCell ref="A125:A126"/>
    <mergeCell ref="A123:A124"/>
    <mergeCell ref="A174:A177"/>
    <mergeCell ref="A171:A173"/>
    <mergeCell ref="B171:B173"/>
    <mergeCell ref="C171:C173"/>
    <mergeCell ref="K171:K173"/>
    <mergeCell ref="B182:B183"/>
    <mergeCell ref="C182:C183"/>
    <mergeCell ref="B184:B185"/>
    <mergeCell ref="C184:C185"/>
    <mergeCell ref="A178:A181"/>
    <mergeCell ref="J178:J181"/>
    <mergeCell ref="J171:J173"/>
    <mergeCell ref="B178:B181"/>
    <mergeCell ref="C178:C181"/>
    <mergeCell ref="B174:B177"/>
    <mergeCell ref="C174:C177"/>
    <mergeCell ref="J174:J177"/>
    <mergeCell ref="K211:K213"/>
    <mergeCell ref="B218:D218"/>
    <mergeCell ref="A214:D214"/>
    <mergeCell ref="L208:L210"/>
    <mergeCell ref="L201:L204"/>
    <mergeCell ref="M201:M204"/>
    <mergeCell ref="A201:A204"/>
    <mergeCell ref="M205:M206"/>
    <mergeCell ref="C205:C207"/>
    <mergeCell ref="L205:L207"/>
    <mergeCell ref="A205:A207"/>
    <mergeCell ref="B205:B207"/>
    <mergeCell ref="B201:B204"/>
    <mergeCell ref="C201:C204"/>
    <mergeCell ref="K201:K204"/>
    <mergeCell ref="K208:K210"/>
    <mergeCell ref="J198:J213"/>
    <mergeCell ref="K205:K207"/>
    <mergeCell ref="A211:A213"/>
    <mergeCell ref="B211:B213"/>
    <mergeCell ref="C211:C213"/>
    <mergeCell ref="L211:L213"/>
    <mergeCell ref="M211:M213"/>
    <mergeCell ref="M208:M209"/>
    <mergeCell ref="A198:A200"/>
    <mergeCell ref="B198:B200"/>
    <mergeCell ref="A196:A197"/>
    <mergeCell ref="B196:B197"/>
    <mergeCell ref="C196:C197"/>
    <mergeCell ref="K196:K197"/>
    <mergeCell ref="L196:L197"/>
    <mergeCell ref="J196:J197"/>
    <mergeCell ref="J187:J189"/>
    <mergeCell ref="J190:J192"/>
    <mergeCell ref="C198:C200"/>
    <mergeCell ref="A193:A195"/>
    <mergeCell ref="B193:B195"/>
    <mergeCell ref="C193:C195"/>
    <mergeCell ref="K193:K195"/>
    <mergeCell ref="A187:A189"/>
    <mergeCell ref="B187:B189"/>
    <mergeCell ref="A190:A192"/>
    <mergeCell ref="B190:B192"/>
    <mergeCell ref="C190:C192"/>
    <mergeCell ref="K190:K192"/>
    <mergeCell ref="L190:L192"/>
    <mergeCell ref="A159:A160"/>
    <mergeCell ref="B159:B160"/>
    <mergeCell ref="M161:M163"/>
    <mergeCell ref="L164:L167"/>
    <mergeCell ref="M164:M167"/>
    <mergeCell ref="A164:A167"/>
    <mergeCell ref="B164:B167"/>
    <mergeCell ref="J164:J167"/>
    <mergeCell ref="C164:C167"/>
    <mergeCell ref="C159:C160"/>
    <mergeCell ref="A161:A163"/>
    <mergeCell ref="B161:B163"/>
    <mergeCell ref="C161:C163"/>
    <mergeCell ref="K161:K163"/>
    <mergeCell ref="J159:J160"/>
    <mergeCell ref="J161:J163"/>
    <mergeCell ref="L161:L163"/>
    <mergeCell ref="A168:A169"/>
    <mergeCell ref="B168:B169"/>
    <mergeCell ref="A104:A106"/>
    <mergeCell ref="C115:C116"/>
    <mergeCell ref="K115:K116"/>
    <mergeCell ref="L115:L116"/>
    <mergeCell ref="M115:M116"/>
    <mergeCell ref="J115:J122"/>
    <mergeCell ref="J109:J114"/>
    <mergeCell ref="K109:K110"/>
    <mergeCell ref="L120:L122"/>
    <mergeCell ref="M120:M122"/>
    <mergeCell ref="B115:B116"/>
    <mergeCell ref="B109:B110"/>
    <mergeCell ref="C109:C110"/>
    <mergeCell ref="B104:B106"/>
    <mergeCell ref="C104:C106"/>
    <mergeCell ref="L111:L114"/>
    <mergeCell ref="M111:M114"/>
    <mergeCell ref="A107:A108"/>
    <mergeCell ref="L104:L106"/>
    <mergeCell ref="L109:L110"/>
    <mergeCell ref="M109:M110"/>
    <mergeCell ref="K111:K114"/>
    <mergeCell ref="C28:C32"/>
    <mergeCell ref="C16:C21"/>
    <mergeCell ref="K16:K21"/>
    <mergeCell ref="L16:L21"/>
    <mergeCell ref="M16:M21"/>
    <mergeCell ref="L28:L32"/>
    <mergeCell ref="M28:M32"/>
    <mergeCell ref="M22:M27"/>
    <mergeCell ref="M38:M40"/>
    <mergeCell ref="K35:K37"/>
    <mergeCell ref="K28:K32"/>
    <mergeCell ref="C13:C14"/>
    <mergeCell ref="A16:A21"/>
    <mergeCell ref="B16:B21"/>
    <mergeCell ref="I13:I14"/>
    <mergeCell ref="L22:L27"/>
    <mergeCell ref="D13:D14"/>
    <mergeCell ref="E13:E14"/>
    <mergeCell ref="K22:K27"/>
    <mergeCell ref="J13:J14"/>
    <mergeCell ref="J16:J21"/>
    <mergeCell ref="K13:K14"/>
    <mergeCell ref="L13:L14"/>
    <mergeCell ref="C45:C46"/>
    <mergeCell ref="K45:K46"/>
    <mergeCell ref="B41:B44"/>
    <mergeCell ref="C41:C44"/>
    <mergeCell ref="A57:A58"/>
    <mergeCell ref="A81:A83"/>
    <mergeCell ref="B47:B48"/>
    <mergeCell ref="C47:C48"/>
    <mergeCell ref="K47:K48"/>
    <mergeCell ref="B57:B58"/>
    <mergeCell ref="C57:C58"/>
    <mergeCell ref="A59:A61"/>
    <mergeCell ref="C81:C83"/>
    <mergeCell ref="B59:B61"/>
    <mergeCell ref="A47:A48"/>
    <mergeCell ref="C59:C61"/>
    <mergeCell ref="A41:A44"/>
    <mergeCell ref="B62:B63"/>
    <mergeCell ref="B64:B65"/>
    <mergeCell ref="B66:B67"/>
    <mergeCell ref="B68:B69"/>
    <mergeCell ref="B70:B71"/>
    <mergeCell ref="B73:B75"/>
    <mergeCell ref="B76:B77"/>
    <mergeCell ref="B139:B140"/>
    <mergeCell ref="C139:C140"/>
    <mergeCell ref="K139:K140"/>
    <mergeCell ref="B135:B138"/>
    <mergeCell ref="K132:K134"/>
    <mergeCell ref="L132:L134"/>
    <mergeCell ref="L141:L145"/>
    <mergeCell ref="L139:L140"/>
    <mergeCell ref="M139:M140"/>
    <mergeCell ref="M132:M134"/>
    <mergeCell ref="N109:N110"/>
    <mergeCell ref="M125:M126"/>
    <mergeCell ref="K127:K128"/>
    <mergeCell ref="M150:M153"/>
    <mergeCell ref="M148:M149"/>
    <mergeCell ref="K135:K138"/>
    <mergeCell ref="M141:M145"/>
    <mergeCell ref="N150:N153"/>
    <mergeCell ref="M127:M128"/>
    <mergeCell ref="N111:N113"/>
    <mergeCell ref="N115:N116"/>
    <mergeCell ref="N120:N122"/>
    <mergeCell ref="N123:N124"/>
    <mergeCell ref="K123:K124"/>
    <mergeCell ref="L125:L126"/>
    <mergeCell ref="K129:K131"/>
    <mergeCell ref="K125:K126"/>
    <mergeCell ref="M123:M124"/>
    <mergeCell ref="B81:B83"/>
    <mergeCell ref="A96:A97"/>
    <mergeCell ref="K178:K181"/>
    <mergeCell ref="K174:K177"/>
    <mergeCell ref="M174:M177"/>
    <mergeCell ref="K159:K160"/>
    <mergeCell ref="L159:L160"/>
    <mergeCell ref="M159:M160"/>
    <mergeCell ref="M146:M147"/>
    <mergeCell ref="L150:L153"/>
    <mergeCell ref="M178:M181"/>
    <mergeCell ref="L171:L173"/>
    <mergeCell ref="M171:M173"/>
    <mergeCell ref="L174:L177"/>
    <mergeCell ref="L178:L181"/>
    <mergeCell ref="K141:K145"/>
    <mergeCell ref="K164:K170"/>
    <mergeCell ref="K148:K149"/>
    <mergeCell ref="L146:L147"/>
    <mergeCell ref="K150:K153"/>
    <mergeCell ref="L135:L138"/>
    <mergeCell ref="M135:M138"/>
    <mergeCell ref="L148:L149"/>
    <mergeCell ref="K155:K157"/>
    <mergeCell ref="B79:B80"/>
    <mergeCell ref="B94:B95"/>
    <mergeCell ref="B227:D227"/>
    <mergeCell ref="A10:I10"/>
    <mergeCell ref="A13:A14"/>
    <mergeCell ref="B13:B14"/>
    <mergeCell ref="A155:A157"/>
    <mergeCell ref="B155:B157"/>
    <mergeCell ref="C155:C157"/>
    <mergeCell ref="A148:A149"/>
    <mergeCell ref="B148:B149"/>
    <mergeCell ref="C148:C149"/>
    <mergeCell ref="A150:A153"/>
    <mergeCell ref="B150:B153"/>
    <mergeCell ref="C150:C153"/>
    <mergeCell ref="A146:A147"/>
    <mergeCell ref="B146:B147"/>
    <mergeCell ref="A139:A140"/>
    <mergeCell ref="B45:B46"/>
    <mergeCell ref="B129:B131"/>
    <mergeCell ref="B127:B128"/>
    <mergeCell ref="C127:C128"/>
    <mergeCell ref="A109:A110"/>
    <mergeCell ref="A101:A102"/>
    <mergeCell ref="P13:P14"/>
    <mergeCell ref="K15:P15"/>
    <mergeCell ref="P16:P21"/>
    <mergeCell ref="K34:P34"/>
    <mergeCell ref="P35:P37"/>
    <mergeCell ref="P38:P40"/>
    <mergeCell ref="P43:P44"/>
    <mergeCell ref="P45:P46"/>
    <mergeCell ref="P47:P48"/>
    <mergeCell ref="L45:L46"/>
    <mergeCell ref="M45:M46"/>
    <mergeCell ref="L47:L48"/>
    <mergeCell ref="N22:N27"/>
    <mergeCell ref="O22:O27"/>
    <mergeCell ref="N28:N32"/>
    <mergeCell ref="O28:O32"/>
    <mergeCell ref="O16:O21"/>
    <mergeCell ref="M13:M14"/>
    <mergeCell ref="P111:P113"/>
    <mergeCell ref="P115:P116"/>
    <mergeCell ref="P120:P122"/>
    <mergeCell ref="P123:P124"/>
    <mergeCell ref="P125:P126"/>
    <mergeCell ref="P127:P128"/>
    <mergeCell ref="P132:P134"/>
    <mergeCell ref="P135:P138"/>
    <mergeCell ref="P57:P58"/>
    <mergeCell ref="P59:P61"/>
    <mergeCell ref="P81:P83"/>
    <mergeCell ref="P96:P97"/>
    <mergeCell ref="P101:P102"/>
    <mergeCell ref="K103:P103"/>
    <mergeCell ref="P104:P106"/>
    <mergeCell ref="P107:P108"/>
    <mergeCell ref="P109:P110"/>
    <mergeCell ref="N135:N138"/>
    <mergeCell ref="O135:O138"/>
    <mergeCell ref="O109:O110"/>
    <mergeCell ref="O111:O113"/>
    <mergeCell ref="O115:O116"/>
    <mergeCell ref="O120:O122"/>
    <mergeCell ref="O123:O124"/>
    <mergeCell ref="P187:P189"/>
    <mergeCell ref="P190:P192"/>
    <mergeCell ref="P198:P200"/>
    <mergeCell ref="P201:P204"/>
    <mergeCell ref="J214:P214"/>
    <mergeCell ref="P141:P145"/>
    <mergeCell ref="P148:P149"/>
    <mergeCell ref="P150:P153"/>
    <mergeCell ref="P155:P157"/>
    <mergeCell ref="K158:P158"/>
    <mergeCell ref="P161:P163"/>
    <mergeCell ref="P164:P167"/>
    <mergeCell ref="P171:P173"/>
    <mergeCell ref="P178:P181"/>
    <mergeCell ref="L193:L195"/>
    <mergeCell ref="P196:P197"/>
    <mergeCell ref="P174:P177"/>
    <mergeCell ref="P159:P160"/>
    <mergeCell ref="L155:L157"/>
    <mergeCell ref="K146:K147"/>
    <mergeCell ref="O150:O153"/>
    <mergeCell ref="M196:M197"/>
    <mergeCell ref="K198:K200"/>
    <mergeCell ref="L198:L200"/>
  </mergeCells>
  <phoneticPr fontId="17" type="noConversion"/>
  <conditionalFormatting sqref="E13:H13">
    <cfRule type="dataBar" priority="1">
      <dataBar>
        <cfvo type="min"/>
        <cfvo type="max"/>
        <color rgb="FF638EC6"/>
      </dataBar>
      <extLst>
        <ext xmlns:x14="http://schemas.microsoft.com/office/spreadsheetml/2009/9/main" uri="{B025F937-C7B1-47D3-B67F-A62EFF666E3E}">
          <x14:id>{7514CD1C-42E8-4DE9-BB52-65C693C14900}</x14:id>
        </ext>
      </extLst>
    </cfRule>
  </conditionalFormatting>
  <conditionalFormatting sqref="I13:K13 I14">
    <cfRule type="dataBar" priority="26">
      <dataBar>
        <cfvo type="min"/>
        <cfvo type="max"/>
        <color rgb="FF638EC6"/>
      </dataBar>
      <extLst>
        <ext xmlns:x14="http://schemas.microsoft.com/office/spreadsheetml/2009/9/main" uri="{B025F937-C7B1-47D3-B67F-A62EFF666E3E}">
          <x14:id>{26F09905-6243-4F81-A065-F6E392A0538B}</x14:id>
        </ext>
      </extLst>
    </cfRule>
  </conditionalFormatting>
  <pageMargins left="0.7" right="0.7" top="0.75" bottom="0.75" header="0.3" footer="0.3"/>
  <pageSetup paperSize="8" scale="60"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7514CD1C-42E8-4DE9-BB52-65C693C14900}">
            <x14:dataBar minLength="0" maxLength="100" border="1" negativeBarBorderColorSameAsPositive="0">
              <x14:cfvo type="autoMin"/>
              <x14:cfvo type="autoMax"/>
              <x14:borderColor rgb="FF638EC6"/>
              <x14:negativeFillColor rgb="FFFF0000"/>
              <x14:negativeBorderColor rgb="FFFF0000"/>
              <x14:axisColor rgb="FF000000"/>
            </x14:dataBar>
          </x14:cfRule>
          <xm:sqref>E13:H13</xm:sqref>
        </x14:conditionalFormatting>
        <x14:conditionalFormatting xmlns:xm="http://schemas.microsoft.com/office/excel/2006/main">
          <x14:cfRule type="dataBar" id="{26F09905-6243-4F81-A065-F6E392A0538B}">
            <x14:dataBar minLength="0" maxLength="100" border="1" negativeBarBorderColorSameAsPositive="0">
              <x14:cfvo type="autoMin"/>
              <x14:cfvo type="autoMax"/>
              <x14:borderColor rgb="FF638EC6"/>
              <x14:negativeFillColor rgb="FFFF0000"/>
              <x14:negativeBorderColor rgb="FFFF0000"/>
              <x14:axisColor rgb="FF000000"/>
            </x14:dataBar>
          </x14:cfRule>
          <xm:sqref>I13:K13 I14</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2791B-8B75-4CDD-B356-798BE755673B}">
  <sheetPr codeName="Lapas15"/>
  <dimension ref="A1:R1125"/>
  <sheetViews>
    <sheetView topLeftCell="G42" zoomScale="98" zoomScaleNormal="98" workbookViewId="0">
      <selection activeCell="J56" sqref="J56:J58"/>
    </sheetView>
  </sheetViews>
  <sheetFormatPr defaultColWidth="9.15234375" defaultRowHeight="12.45"/>
  <cols>
    <col min="1" max="1" width="14.15234375" style="368" customWidth="1"/>
    <col min="2" max="2" width="31.15234375" style="368" customWidth="1"/>
    <col min="3" max="3" width="4.3046875" style="368" customWidth="1"/>
    <col min="4" max="4" width="8.84375" style="368" customWidth="1"/>
    <col min="5" max="5" width="14.69140625" style="370" customWidth="1"/>
    <col min="6" max="6" width="16.3046875" style="370" customWidth="1"/>
    <col min="7" max="7" width="16.53515625" style="368" customWidth="1"/>
    <col min="8" max="8" width="17.3828125" style="368" customWidth="1"/>
    <col min="9" max="9" width="19.3046875" style="368" hidden="1" customWidth="1"/>
    <col min="10" max="10" width="71.3828125" style="1539" customWidth="1"/>
    <col min="11" max="11" width="13.3046875" style="368" customWidth="1"/>
    <col min="12" max="12" width="26.69140625" style="368" customWidth="1"/>
    <col min="13" max="13" width="21.3828125" style="368" customWidth="1"/>
    <col min="14" max="14" width="24" style="368" customWidth="1"/>
    <col min="15" max="17" width="6.3046875" style="461" hidden="1" customWidth="1"/>
    <col min="18" max="18" width="15.53515625" style="368" customWidth="1"/>
    <col min="19" max="16384" width="9.15234375" style="368"/>
  </cols>
  <sheetData>
    <row r="1" spans="1:18" ht="15" customHeight="1">
      <c r="A1" s="1901" t="s">
        <v>2197</v>
      </c>
      <c r="B1" s="1901"/>
      <c r="C1" s="1901"/>
      <c r="D1" s="1901"/>
      <c r="E1" s="1901"/>
      <c r="F1" s="1901"/>
      <c r="G1" s="1901"/>
      <c r="H1" s="1901"/>
      <c r="I1" s="1901"/>
      <c r="J1" s="1901"/>
      <c r="K1" s="1901"/>
      <c r="L1" s="1901"/>
      <c r="M1" s="1901"/>
      <c r="N1" s="1901"/>
      <c r="O1" s="1901"/>
      <c r="P1" s="1901"/>
      <c r="Q1" s="1901"/>
    </row>
    <row r="2" spans="1:18" ht="23.25" customHeight="1">
      <c r="A2" s="1739" t="s">
        <v>2605</v>
      </c>
      <c r="B2" s="1739"/>
      <c r="C2" s="1739"/>
      <c r="D2" s="1739"/>
      <c r="E2" s="1739"/>
      <c r="F2" s="1739"/>
      <c r="G2" s="1739"/>
      <c r="H2" s="1739"/>
      <c r="I2" s="1739"/>
      <c r="J2" s="1739"/>
      <c r="K2" s="1739"/>
      <c r="L2" s="1739"/>
      <c r="M2" s="1739"/>
      <c r="N2" s="1739"/>
      <c r="O2" s="1739"/>
      <c r="P2" s="1739"/>
      <c r="Q2" s="1739"/>
    </row>
    <row r="3" spans="1:18">
      <c r="A3" s="374" t="str">
        <f>A13</f>
        <v>07.01.01. (T)</v>
      </c>
      <c r="B3" s="374" t="str">
        <f>B13</f>
        <v>Stiprinti ir plėtoti visuomenės sveikatinimo veiklą</v>
      </c>
      <c r="C3" s="374"/>
      <c r="D3" s="374"/>
      <c r="E3" s="374"/>
      <c r="F3" s="374"/>
      <c r="G3" s="374"/>
      <c r="H3" s="374"/>
      <c r="I3" s="374"/>
      <c r="J3" s="1489"/>
      <c r="K3" s="374"/>
      <c r="L3" s="374"/>
      <c r="M3" s="374"/>
      <c r="N3" s="374"/>
      <c r="O3" s="462"/>
      <c r="P3" s="462"/>
      <c r="Q3" s="462"/>
    </row>
    <row r="4" spans="1:18">
      <c r="A4" s="459" t="str">
        <f>A55</f>
        <v>07.01.02. (T)</v>
      </c>
      <c r="B4" s="459" t="str">
        <f>B55</f>
        <v>Remti sveikatos priežiūros paslaugų teikimą nustatytų kategorijų žmonėms</v>
      </c>
      <c r="C4" s="374"/>
      <c r="D4" s="374"/>
      <c r="E4" s="374"/>
      <c r="F4" s="374"/>
      <c r="G4" s="374"/>
      <c r="H4" s="374"/>
      <c r="I4" s="374"/>
      <c r="J4" s="1489"/>
      <c r="K4" s="374"/>
      <c r="L4" s="374"/>
      <c r="M4" s="374"/>
      <c r="N4" s="374"/>
      <c r="O4" s="462"/>
      <c r="P4" s="462"/>
      <c r="Q4" s="462"/>
    </row>
    <row r="5" spans="1:18">
      <c r="A5" s="459" t="s">
        <v>3035</v>
      </c>
      <c r="B5" s="459" t="s">
        <v>1462</v>
      </c>
      <c r="C5" s="374"/>
      <c r="D5" s="374"/>
      <c r="E5" s="374"/>
      <c r="F5" s="374"/>
      <c r="G5" s="374"/>
      <c r="H5" s="374"/>
      <c r="I5" s="374"/>
      <c r="J5" s="1489"/>
      <c r="K5" s="374"/>
      <c r="L5" s="374"/>
      <c r="M5" s="374"/>
      <c r="N5" s="374"/>
      <c r="O5" s="462"/>
      <c r="P5" s="462"/>
      <c r="Q5" s="462"/>
    </row>
    <row r="6" spans="1:18">
      <c r="A6" s="374"/>
      <c r="B6" s="374"/>
      <c r="C6" s="374"/>
      <c r="D6" s="374"/>
      <c r="E6" s="374"/>
      <c r="F6" s="374"/>
      <c r="G6" s="374"/>
      <c r="H6" s="374"/>
      <c r="I6" s="374"/>
      <c r="J6" s="1489"/>
      <c r="K6" s="374"/>
      <c r="L6" s="374"/>
      <c r="M6" s="374"/>
      <c r="N6" s="374"/>
      <c r="O6" s="462"/>
      <c r="P6" s="462"/>
      <c r="Q6" s="462"/>
    </row>
    <row r="7" spans="1:18" ht="15" customHeight="1">
      <c r="A7" s="1867" t="s">
        <v>1377</v>
      </c>
      <c r="B7" s="1867"/>
      <c r="C7" s="1867"/>
      <c r="D7" s="1867"/>
      <c r="E7" s="1867"/>
      <c r="F7" s="448"/>
      <c r="G7" s="448"/>
      <c r="H7" s="373"/>
      <c r="I7" s="449"/>
      <c r="J7" s="1489"/>
      <c r="K7" s="374"/>
      <c r="L7" s="374"/>
      <c r="M7" s="374"/>
      <c r="N7" s="374"/>
      <c r="O7" s="452"/>
      <c r="P7" s="452"/>
      <c r="Q7" s="452"/>
    </row>
    <row r="8" spans="1:18" ht="19.2" customHeight="1">
      <c r="A8" s="1867" t="s">
        <v>2737</v>
      </c>
      <c r="B8" s="1867"/>
      <c r="C8" s="1867"/>
      <c r="D8" s="1867"/>
      <c r="E8" s="1867"/>
      <c r="F8" s="1867"/>
      <c r="G8" s="1867"/>
      <c r="H8" s="1867"/>
      <c r="I8" s="1867"/>
      <c r="J8" s="1867"/>
      <c r="K8" s="1867"/>
      <c r="L8" s="1867"/>
      <c r="M8" s="448"/>
      <c r="N8" s="448"/>
      <c r="O8" s="452"/>
      <c r="P8" s="452"/>
      <c r="Q8" s="452"/>
    </row>
    <row r="9" spans="1:18" ht="14.5" customHeight="1">
      <c r="A9" s="374"/>
      <c r="B9" s="374"/>
      <c r="C9" s="374"/>
      <c r="D9" s="374"/>
      <c r="E9" s="374"/>
      <c r="F9" s="374"/>
      <c r="G9" s="374"/>
      <c r="H9" s="374"/>
      <c r="I9" s="374"/>
      <c r="J9" s="1489"/>
      <c r="K9" s="374"/>
      <c r="L9" s="374"/>
      <c r="M9" s="374"/>
      <c r="N9" s="374"/>
      <c r="O9" s="462"/>
      <c r="P9" s="462"/>
      <c r="Q9" s="462"/>
    </row>
    <row r="10" spans="1:18" ht="14.5" customHeight="1">
      <c r="A10" s="459" t="s">
        <v>3700</v>
      </c>
      <c r="B10" s="607"/>
      <c r="C10" s="607"/>
      <c r="D10" s="607"/>
      <c r="E10" s="607"/>
      <c r="F10" s="608"/>
      <c r="G10" s="607"/>
      <c r="H10" s="607"/>
      <c r="I10" s="607"/>
      <c r="J10" s="1542"/>
      <c r="K10" s="374"/>
      <c r="L10" s="374"/>
      <c r="M10" s="374"/>
      <c r="N10" s="374"/>
      <c r="O10" s="462"/>
      <c r="P10" s="462"/>
      <c r="Q10" s="462"/>
    </row>
    <row r="11" spans="1:18" ht="48" customHeight="1">
      <c r="A11" s="1681" t="s">
        <v>994</v>
      </c>
      <c r="B11" s="1681" t="s">
        <v>1933</v>
      </c>
      <c r="C11" s="2061" t="s">
        <v>1318</v>
      </c>
      <c r="D11" s="1980" t="s">
        <v>1319</v>
      </c>
      <c r="E11" s="1847" t="s">
        <v>2857</v>
      </c>
      <c r="F11" s="1784" t="s">
        <v>2874</v>
      </c>
      <c r="G11" s="1784" t="s">
        <v>2858</v>
      </c>
      <c r="H11" s="1784" t="s">
        <v>2859</v>
      </c>
      <c r="I11" s="1681" t="s">
        <v>1950</v>
      </c>
      <c r="J11" s="1846" t="s">
        <v>2750</v>
      </c>
      <c r="K11" s="1905" t="s">
        <v>2861</v>
      </c>
      <c r="L11" s="1905" t="s">
        <v>2864</v>
      </c>
      <c r="M11" s="1680" t="s">
        <v>2865</v>
      </c>
      <c r="N11" s="1680"/>
      <c r="O11" s="1902" t="s">
        <v>995</v>
      </c>
      <c r="P11" s="1903"/>
      <c r="Q11" s="1903"/>
      <c r="R11" s="1681" t="s">
        <v>3733</v>
      </c>
    </row>
    <row r="12" spans="1:18" ht="55.95" customHeight="1">
      <c r="A12" s="1952"/>
      <c r="B12" s="1952"/>
      <c r="C12" s="2062"/>
      <c r="D12" s="1980"/>
      <c r="E12" s="1847"/>
      <c r="F12" s="1785"/>
      <c r="G12" s="1785"/>
      <c r="H12" s="1785"/>
      <c r="I12" s="1682"/>
      <c r="J12" s="1681"/>
      <c r="K12" s="2060"/>
      <c r="L12" s="2060"/>
      <c r="M12" s="439" t="s">
        <v>2862</v>
      </c>
      <c r="N12" s="439" t="s">
        <v>2863</v>
      </c>
      <c r="O12" s="454">
        <v>2024</v>
      </c>
      <c r="P12" s="454">
        <v>2025</v>
      </c>
      <c r="Q12" s="639">
        <v>2026</v>
      </c>
      <c r="R12" s="1682"/>
    </row>
    <row r="13" spans="1:18" ht="39" customHeight="1">
      <c r="A13" s="501" t="s">
        <v>2078</v>
      </c>
      <c r="B13" s="496" t="s">
        <v>1453</v>
      </c>
      <c r="C13" s="501"/>
      <c r="D13" s="501"/>
      <c r="E13" s="502">
        <f>SUM(E16,E25,E27,E29,E31,E34,E41,E43,E45,E48,E51,E54,)</f>
        <v>224.404</v>
      </c>
      <c r="F13" s="502">
        <f t="shared" ref="F13:G13" si="0">SUM(F16,F25,F27,F29,F31,F34,F41,F43,F45,F48,F51,F54,)</f>
        <v>242.57800000000003</v>
      </c>
      <c r="G13" s="502">
        <f t="shared" si="0"/>
        <v>210.04300000000001</v>
      </c>
      <c r="H13" s="539">
        <f>G13/F13</f>
        <v>0.86587819175687808</v>
      </c>
      <c r="I13" s="502">
        <f>SUM(I16,I25,I27,I29,I31,I34,I41,I43,I45,I48,I51,I54,)</f>
        <v>657.06799999999998</v>
      </c>
      <c r="J13" s="1653"/>
      <c r="K13" s="1654"/>
      <c r="L13" s="1654"/>
      <c r="M13" s="1654"/>
      <c r="N13" s="1654"/>
      <c r="O13" s="1654"/>
      <c r="P13" s="1654"/>
      <c r="Q13" s="1654"/>
      <c r="R13" s="1919"/>
    </row>
    <row r="14" spans="1:18" ht="36" customHeight="1">
      <c r="A14" s="1767" t="s">
        <v>2067</v>
      </c>
      <c r="B14" s="1769" t="s">
        <v>1454</v>
      </c>
      <c r="C14" s="1957">
        <v>188711925</v>
      </c>
      <c r="D14" s="659" t="s">
        <v>2604</v>
      </c>
      <c r="E14" s="734">
        <v>12.804</v>
      </c>
      <c r="F14" s="734">
        <v>15.204000000000001</v>
      </c>
      <c r="G14" s="734">
        <v>6.7720000000000002</v>
      </c>
      <c r="H14" s="803">
        <f>G14/F14</f>
        <v>0.44540910286766638</v>
      </c>
      <c r="I14" s="734">
        <f>19.54-I15</f>
        <v>11.1</v>
      </c>
      <c r="J14" s="1699" t="s">
        <v>3451</v>
      </c>
      <c r="K14" s="1639" t="s">
        <v>8</v>
      </c>
      <c r="L14" s="1639" t="s">
        <v>1643</v>
      </c>
      <c r="M14" s="1637" t="s">
        <v>1598</v>
      </c>
      <c r="N14" s="1637" t="s">
        <v>1598</v>
      </c>
      <c r="O14" s="1637" t="s">
        <v>1598</v>
      </c>
      <c r="P14" s="1637" t="s">
        <v>566</v>
      </c>
      <c r="Q14" s="2049" t="s">
        <v>566</v>
      </c>
      <c r="R14" s="1665" t="s">
        <v>3548</v>
      </c>
    </row>
    <row r="15" spans="1:18" ht="58.95" hidden="1" customHeight="1">
      <c r="A15" s="1767"/>
      <c r="B15" s="1769"/>
      <c r="C15" s="1957"/>
      <c r="D15" s="659" t="s">
        <v>2850</v>
      </c>
      <c r="E15" s="734"/>
      <c r="F15" s="734"/>
      <c r="G15" s="734"/>
      <c r="H15" s="734"/>
      <c r="I15" s="734">
        <v>8.44</v>
      </c>
      <c r="J15" s="1699"/>
      <c r="K15" s="1639"/>
      <c r="L15" s="1639"/>
      <c r="M15" s="1638"/>
      <c r="N15" s="1638"/>
      <c r="O15" s="1638"/>
      <c r="P15" s="1638"/>
      <c r="Q15" s="2051"/>
      <c r="R15" s="1666"/>
    </row>
    <row r="16" spans="1:18" ht="41.25" customHeight="1">
      <c r="A16" s="1803"/>
      <c r="B16" s="1736"/>
      <c r="C16" s="1737"/>
      <c r="D16" s="705" t="s">
        <v>1321</v>
      </c>
      <c r="E16" s="706">
        <f>SUM(E14:E14)</f>
        <v>12.804</v>
      </c>
      <c r="F16" s="706">
        <f t="shared" ref="F16" si="1">SUM(F14:F14)</f>
        <v>15.204000000000001</v>
      </c>
      <c r="G16" s="706">
        <f>SUM(G14:G14)</f>
        <v>6.7720000000000002</v>
      </c>
      <c r="H16" s="707">
        <f>G16/F16</f>
        <v>0.44540910286766638</v>
      </c>
      <c r="I16" s="706">
        <f>SUM(I14:I15)</f>
        <v>19.54</v>
      </c>
      <c r="J16" s="1700"/>
      <c r="K16" s="1646"/>
      <c r="L16" s="1646"/>
      <c r="M16" s="1639"/>
      <c r="N16" s="1639"/>
      <c r="O16" s="1639"/>
      <c r="P16" s="1639"/>
      <c r="Q16" s="2050"/>
      <c r="R16" s="1671"/>
    </row>
    <row r="17" spans="1:18" ht="23.25" hidden="1" customHeight="1">
      <c r="A17" s="1093"/>
      <c r="B17" s="968" t="s">
        <v>3366</v>
      </c>
      <c r="C17" s="1158"/>
      <c r="D17" s="977"/>
      <c r="E17" s="538"/>
      <c r="F17" s="538"/>
      <c r="G17" s="538">
        <v>0.54100000000000004</v>
      </c>
      <c r="H17" s="998"/>
      <c r="I17" s="1002"/>
      <c r="J17" s="1507" t="s">
        <v>3367</v>
      </c>
      <c r="K17" s="968"/>
      <c r="L17" s="968"/>
      <c r="M17" s="615"/>
      <c r="N17" s="615"/>
      <c r="O17" s="526"/>
      <c r="P17" s="526"/>
      <c r="Q17" s="654"/>
      <c r="R17" s="1187"/>
    </row>
    <row r="18" spans="1:18" ht="19.5" hidden="1" customHeight="1">
      <c r="A18" s="1093"/>
      <c r="B18" s="968" t="s">
        <v>3368</v>
      </c>
      <c r="C18" s="1158"/>
      <c r="D18" s="977"/>
      <c r="E18" s="538"/>
      <c r="F18" s="538"/>
      <c r="G18" s="538">
        <v>1.2</v>
      </c>
      <c r="H18" s="998"/>
      <c r="I18" s="1002"/>
      <c r="J18" s="1507" t="s">
        <v>3369</v>
      </c>
      <c r="K18" s="968"/>
      <c r="L18" s="968"/>
      <c r="M18" s="615"/>
      <c r="N18" s="615"/>
      <c r="O18" s="526"/>
      <c r="P18" s="526"/>
      <c r="Q18" s="654"/>
      <c r="R18" s="1187"/>
    </row>
    <row r="19" spans="1:18" ht="19.5" hidden="1" customHeight="1">
      <c r="A19" s="1093"/>
      <c r="B19" s="968" t="s">
        <v>3370</v>
      </c>
      <c r="C19" s="1158"/>
      <c r="D19" s="977"/>
      <c r="E19" s="538"/>
      <c r="F19" s="538"/>
      <c r="G19" s="538">
        <v>1.1000000000000001</v>
      </c>
      <c r="H19" s="998"/>
      <c r="I19" s="1002"/>
      <c r="J19" s="1507" t="s">
        <v>3371</v>
      </c>
      <c r="K19" s="968"/>
      <c r="L19" s="968"/>
      <c r="M19" s="615"/>
      <c r="N19" s="615"/>
      <c r="O19" s="526"/>
      <c r="P19" s="526"/>
      <c r="Q19" s="654"/>
      <c r="R19" s="1187"/>
    </row>
    <row r="20" spans="1:18" ht="26.25" hidden="1" customHeight="1">
      <c r="A20" s="1093"/>
      <c r="B20" s="968" t="s">
        <v>3372</v>
      </c>
      <c r="C20" s="1158"/>
      <c r="D20" s="977"/>
      <c r="E20" s="538"/>
      <c r="F20" s="538"/>
      <c r="G20" s="538">
        <v>1.2</v>
      </c>
      <c r="H20" s="998"/>
      <c r="I20" s="1002"/>
      <c r="J20" s="1507" t="s">
        <v>3373</v>
      </c>
      <c r="K20" s="968"/>
      <c r="L20" s="968"/>
      <c r="M20" s="615"/>
      <c r="N20" s="615"/>
      <c r="O20" s="526"/>
      <c r="P20" s="526"/>
      <c r="Q20" s="654"/>
      <c r="R20" s="1187"/>
    </row>
    <row r="21" spans="1:18" ht="22.5" hidden="1" customHeight="1">
      <c r="A21" s="1093"/>
      <c r="B21" s="968" t="s">
        <v>3374</v>
      </c>
      <c r="C21" s="1158"/>
      <c r="D21" s="977"/>
      <c r="E21" s="538"/>
      <c r="F21" s="538"/>
      <c r="G21" s="538">
        <v>0.73299999999999998</v>
      </c>
      <c r="H21" s="998"/>
      <c r="I21" s="1002"/>
      <c r="J21" s="1507" t="s">
        <v>3375</v>
      </c>
      <c r="K21" s="968"/>
      <c r="L21" s="968"/>
      <c r="M21" s="615"/>
      <c r="N21" s="615"/>
      <c r="O21" s="526"/>
      <c r="P21" s="526"/>
      <c r="Q21" s="654"/>
      <c r="R21" s="1187"/>
    </row>
    <row r="22" spans="1:18" ht="21.75" hidden="1" customHeight="1">
      <c r="A22" s="1093"/>
      <c r="B22" s="968" t="s">
        <v>3376</v>
      </c>
      <c r="C22" s="1158"/>
      <c r="D22" s="1298"/>
      <c r="E22" s="1002"/>
      <c r="F22" s="1002"/>
      <c r="G22" s="538">
        <v>0.8</v>
      </c>
      <c r="H22" s="998"/>
      <c r="I22" s="1002"/>
      <c r="J22" s="1517" t="s">
        <v>3379</v>
      </c>
      <c r="K22" s="968"/>
      <c r="L22" s="968"/>
      <c r="M22" s="615"/>
      <c r="N22" s="615"/>
      <c r="O22" s="526"/>
      <c r="P22" s="526"/>
      <c r="Q22" s="654"/>
      <c r="R22" s="1187"/>
    </row>
    <row r="23" spans="1:18" ht="25.5" hidden="1" customHeight="1">
      <c r="A23" s="1093"/>
      <c r="B23" s="968" t="s">
        <v>3377</v>
      </c>
      <c r="C23" s="1158"/>
      <c r="D23" s="1298"/>
      <c r="E23" s="1002"/>
      <c r="F23" s="1002"/>
      <c r="G23" s="538">
        <v>1.2</v>
      </c>
      <c r="H23" s="998"/>
      <c r="I23" s="1002"/>
      <c r="J23" s="1507" t="s">
        <v>3378</v>
      </c>
      <c r="K23" s="968"/>
      <c r="L23" s="968"/>
      <c r="M23" s="615"/>
      <c r="N23" s="615"/>
      <c r="O23" s="526"/>
      <c r="P23" s="526"/>
      <c r="Q23" s="654"/>
      <c r="R23" s="1187"/>
    </row>
    <row r="24" spans="1:18" ht="49.2" customHeight="1">
      <c r="A24" s="1767" t="s">
        <v>2068</v>
      </c>
      <c r="B24" s="1769" t="s">
        <v>1455</v>
      </c>
      <c r="C24" s="1957" t="s">
        <v>1325</v>
      </c>
      <c r="D24" s="659"/>
      <c r="E24" s="734"/>
      <c r="F24" s="734"/>
      <c r="G24" s="734"/>
      <c r="H24" s="734"/>
      <c r="I24" s="734"/>
      <c r="J24" s="1699" t="s">
        <v>3458</v>
      </c>
      <c r="K24" s="1639" t="s">
        <v>14</v>
      </c>
      <c r="L24" s="1639" t="s">
        <v>1644</v>
      </c>
      <c r="M24" s="1637" t="s">
        <v>566</v>
      </c>
      <c r="N24" s="1637" t="s">
        <v>566</v>
      </c>
      <c r="O24" s="1637" t="s">
        <v>566</v>
      </c>
      <c r="P24" s="1637" t="s">
        <v>566</v>
      </c>
      <c r="Q24" s="2049" t="s">
        <v>566</v>
      </c>
      <c r="R24" s="1665" t="s">
        <v>3548</v>
      </c>
    </row>
    <row r="25" spans="1:18" ht="24.65" customHeight="1">
      <c r="A25" s="1803"/>
      <c r="B25" s="1736"/>
      <c r="C25" s="1737"/>
      <c r="D25" s="705" t="s">
        <v>1321</v>
      </c>
      <c r="E25" s="706"/>
      <c r="F25" s="905"/>
      <c r="G25" s="905"/>
      <c r="H25" s="706"/>
      <c r="I25" s="706">
        <f t="shared" ref="I25" si="2">SUM(I24:I24)</f>
        <v>0</v>
      </c>
      <c r="J25" s="1700"/>
      <c r="K25" s="1646"/>
      <c r="L25" s="1646"/>
      <c r="M25" s="1639"/>
      <c r="N25" s="1639"/>
      <c r="O25" s="1639"/>
      <c r="P25" s="1639"/>
      <c r="Q25" s="2050"/>
      <c r="R25" s="1671"/>
    </row>
    <row r="26" spans="1:18" ht="79.95" customHeight="1">
      <c r="A26" s="1767" t="s">
        <v>2069</v>
      </c>
      <c r="B26" s="1769" t="s">
        <v>3775</v>
      </c>
      <c r="C26" s="1957" t="s">
        <v>1401</v>
      </c>
      <c r="D26" s="659" t="s">
        <v>1326</v>
      </c>
      <c r="E26" s="734">
        <v>142</v>
      </c>
      <c r="F26" s="734">
        <v>142</v>
      </c>
      <c r="G26" s="734">
        <v>142</v>
      </c>
      <c r="H26" s="803">
        <f>G26/F26</f>
        <v>1</v>
      </c>
      <c r="I26" s="734">
        <f>142.54+13</f>
        <v>155.54</v>
      </c>
      <c r="J26" s="1699" t="s">
        <v>3675</v>
      </c>
      <c r="K26" s="1639" t="s">
        <v>15</v>
      </c>
      <c r="L26" s="1639" t="s">
        <v>1645</v>
      </c>
      <c r="M26" s="1637" t="s">
        <v>1646</v>
      </c>
      <c r="N26" s="1637" t="s">
        <v>3776</v>
      </c>
      <c r="O26" s="1637" t="s">
        <v>1646</v>
      </c>
      <c r="P26" s="1637" t="s">
        <v>1647</v>
      </c>
      <c r="Q26" s="2049" t="s">
        <v>1648</v>
      </c>
      <c r="R26" s="1665" t="s">
        <v>3545</v>
      </c>
    </row>
    <row r="27" spans="1:18" ht="64.2" customHeight="1">
      <c r="A27" s="1803"/>
      <c r="B27" s="1736"/>
      <c r="C27" s="1737"/>
      <c r="D27" s="705" t="s">
        <v>1321</v>
      </c>
      <c r="E27" s="706">
        <f>SUM(E26:E26)</f>
        <v>142</v>
      </c>
      <c r="F27" s="706">
        <f t="shared" ref="F27:H27" si="3">SUM(F26:F26)</f>
        <v>142</v>
      </c>
      <c r="G27" s="706">
        <f t="shared" si="3"/>
        <v>142</v>
      </c>
      <c r="H27" s="707">
        <f t="shared" si="3"/>
        <v>1</v>
      </c>
      <c r="I27" s="706">
        <f t="shared" ref="I27" si="4">SUM(I26:I26)</f>
        <v>155.54</v>
      </c>
      <c r="J27" s="1700"/>
      <c r="K27" s="1646"/>
      <c r="L27" s="1646"/>
      <c r="M27" s="1639"/>
      <c r="N27" s="1639"/>
      <c r="O27" s="1639"/>
      <c r="P27" s="1639"/>
      <c r="Q27" s="2050"/>
      <c r="R27" s="1671"/>
    </row>
    <row r="28" spans="1:18" ht="48.65" customHeight="1">
      <c r="A28" s="1767" t="s">
        <v>2070</v>
      </c>
      <c r="B28" s="1769" t="s">
        <v>1456</v>
      </c>
      <c r="C28" s="1957" t="s">
        <v>1401</v>
      </c>
      <c r="D28" s="659" t="s">
        <v>668</v>
      </c>
      <c r="E28" s="734"/>
      <c r="F28" s="734"/>
      <c r="G28" s="734"/>
      <c r="H28" s="734"/>
      <c r="I28" s="734"/>
      <c r="J28" s="1699" t="s">
        <v>3676</v>
      </c>
      <c r="K28" s="1639" t="s">
        <v>267</v>
      </c>
      <c r="L28" s="1639" t="s">
        <v>532</v>
      </c>
      <c r="M28" s="1637" t="s">
        <v>6</v>
      </c>
      <c r="N28" s="1637" t="s">
        <v>6</v>
      </c>
      <c r="O28" s="1637" t="s">
        <v>6</v>
      </c>
      <c r="P28" s="1637" t="s">
        <v>1649</v>
      </c>
      <c r="Q28" s="2049" t="s">
        <v>1533</v>
      </c>
      <c r="R28" s="1665" t="s">
        <v>3548</v>
      </c>
    </row>
    <row r="29" spans="1:18" ht="42" customHeight="1">
      <c r="A29" s="1803"/>
      <c r="B29" s="1736"/>
      <c r="C29" s="1737"/>
      <c r="D29" s="705" t="s">
        <v>1321</v>
      </c>
      <c r="E29" s="706">
        <f>SUM(E28:E28)</f>
        <v>0</v>
      </c>
      <c r="F29" s="905"/>
      <c r="G29" s="905"/>
      <c r="H29" s="706"/>
      <c r="I29" s="706">
        <f t="shared" ref="I29" si="5">SUM(I28:I28)</f>
        <v>0</v>
      </c>
      <c r="J29" s="1700"/>
      <c r="K29" s="1646"/>
      <c r="L29" s="1646"/>
      <c r="M29" s="1639"/>
      <c r="N29" s="1639"/>
      <c r="O29" s="1639"/>
      <c r="P29" s="1639"/>
      <c r="Q29" s="2050"/>
      <c r="R29" s="1671"/>
    </row>
    <row r="30" spans="1:18" ht="27.65" hidden="1" customHeight="1">
      <c r="A30" s="1767" t="s">
        <v>2071</v>
      </c>
      <c r="B30" s="1769" t="s">
        <v>1457</v>
      </c>
      <c r="C30" s="1957" t="s">
        <v>1401</v>
      </c>
      <c r="D30" s="659" t="s">
        <v>668</v>
      </c>
      <c r="E30" s="734"/>
      <c r="F30" s="734"/>
      <c r="G30" s="734"/>
      <c r="H30" s="734"/>
      <c r="I30" s="734"/>
      <c r="J30" s="1699"/>
      <c r="K30" s="1639" t="s">
        <v>1641</v>
      </c>
      <c r="L30" s="1933" t="s">
        <v>1650</v>
      </c>
      <c r="M30" s="814"/>
      <c r="N30" s="814"/>
      <c r="O30" s="1637"/>
      <c r="P30" s="1637"/>
      <c r="Q30" s="2049"/>
      <c r="R30" s="1189"/>
    </row>
    <row r="31" spans="1:18" ht="27" hidden="1" customHeight="1">
      <c r="A31" s="1765"/>
      <c r="B31" s="1956"/>
      <c r="C31" s="1958"/>
      <c r="D31" s="757" t="s">
        <v>1321</v>
      </c>
      <c r="E31" s="731">
        <f>SUM(E30:E30)</f>
        <v>0</v>
      </c>
      <c r="F31" s="991"/>
      <c r="G31" s="991"/>
      <c r="H31" s="731"/>
      <c r="I31" s="706">
        <f t="shared" ref="I31" si="6">SUM(I30:I30)</f>
        <v>0</v>
      </c>
      <c r="J31" s="1700"/>
      <c r="K31" s="1646"/>
      <c r="L31" s="2059"/>
      <c r="M31" s="747"/>
      <c r="N31" s="747"/>
      <c r="O31" s="1639"/>
      <c r="P31" s="1639"/>
      <c r="Q31" s="2050"/>
      <c r="R31" s="1189"/>
    </row>
    <row r="32" spans="1:18" ht="27.75" customHeight="1">
      <c r="A32" s="1816" t="s">
        <v>2072</v>
      </c>
      <c r="B32" s="1736" t="s">
        <v>2603</v>
      </c>
      <c r="C32" s="1737" t="s">
        <v>1325</v>
      </c>
      <c r="D32" s="656" t="s">
        <v>668</v>
      </c>
      <c r="E32" s="701">
        <f>E38</f>
        <v>0.6</v>
      </c>
      <c r="F32" s="701">
        <f t="shared" ref="F32" si="7">F38</f>
        <v>0.83699999999999997</v>
      </c>
      <c r="G32" s="701">
        <f>G38</f>
        <v>0.755</v>
      </c>
      <c r="H32" s="702">
        <f>G32/F32</f>
        <v>0.90203106332138594</v>
      </c>
      <c r="I32" s="734">
        <v>0.7</v>
      </c>
      <c r="J32" s="1699" t="s">
        <v>3677</v>
      </c>
      <c r="K32" s="1646" t="s">
        <v>18</v>
      </c>
      <c r="L32" s="1646" t="s">
        <v>3036</v>
      </c>
      <c r="M32" s="1646" t="s">
        <v>3037</v>
      </c>
      <c r="N32" s="1646" t="s">
        <v>3457</v>
      </c>
      <c r="O32" s="1637" t="s">
        <v>1651</v>
      </c>
      <c r="P32" s="1637" t="s">
        <v>1651</v>
      </c>
      <c r="Q32" s="2049" t="s">
        <v>1651</v>
      </c>
      <c r="R32" s="1665" t="s">
        <v>3545</v>
      </c>
    </row>
    <row r="33" spans="1:18" ht="34.5" customHeight="1">
      <c r="A33" s="1816"/>
      <c r="B33" s="1736"/>
      <c r="C33" s="1737"/>
      <c r="D33" s="656" t="s">
        <v>1326</v>
      </c>
      <c r="E33" s="701">
        <f>E37</f>
        <v>1.8</v>
      </c>
      <c r="F33" s="701">
        <f t="shared" ref="F33" si="8">F37</f>
        <v>1.8</v>
      </c>
      <c r="G33" s="701">
        <f>G37</f>
        <v>1.522</v>
      </c>
      <c r="H33" s="702">
        <f>G33/F33</f>
        <v>0.8455555555555555</v>
      </c>
      <c r="I33" s="701">
        <v>1.9</v>
      </c>
      <c r="J33" s="1699"/>
      <c r="K33" s="1646"/>
      <c r="L33" s="1646"/>
      <c r="M33" s="1646"/>
      <c r="N33" s="1646"/>
      <c r="O33" s="1638"/>
      <c r="P33" s="1638"/>
      <c r="Q33" s="2051"/>
      <c r="R33" s="1666"/>
    </row>
    <row r="34" spans="1:18" s="376" customFormat="1" ht="16.2" customHeight="1">
      <c r="A34" s="1816"/>
      <c r="B34" s="1736"/>
      <c r="C34" s="1737"/>
      <c r="D34" s="2063" t="s">
        <v>1321</v>
      </c>
      <c r="E34" s="1786">
        <f>SUM(E32:E33)</f>
        <v>2.4</v>
      </c>
      <c r="F34" s="1786">
        <f t="shared" ref="F34:G34" si="9">SUM(F32:F33)</f>
        <v>2.637</v>
      </c>
      <c r="G34" s="1786">
        <f t="shared" si="9"/>
        <v>2.2770000000000001</v>
      </c>
      <c r="H34" s="1809">
        <f t="shared" ref="H34:H36" si="10">G34/F34</f>
        <v>0.86348122866894206</v>
      </c>
      <c r="I34" s="1963">
        <f t="shared" ref="I34" si="11">SUM(I32:I33)</f>
        <v>2.5999999999999996</v>
      </c>
      <c r="J34" s="1699"/>
      <c r="K34" s="1646"/>
      <c r="L34" s="1646"/>
      <c r="M34" s="1646"/>
      <c r="N34" s="1646"/>
      <c r="O34" s="1639"/>
      <c r="P34" s="1639"/>
      <c r="Q34" s="2050"/>
      <c r="R34" s="1666"/>
    </row>
    <row r="35" spans="1:18" s="376" customFormat="1" ht="4.5" customHeight="1">
      <c r="A35" s="1816"/>
      <c r="B35" s="1736"/>
      <c r="C35" s="1737"/>
      <c r="D35" s="2063"/>
      <c r="E35" s="1786"/>
      <c r="F35" s="1786"/>
      <c r="G35" s="1786"/>
      <c r="H35" s="1809" t="e">
        <f t="shared" si="10"/>
        <v>#DIV/0!</v>
      </c>
      <c r="I35" s="1979"/>
      <c r="J35" s="1699"/>
      <c r="K35" s="1646"/>
      <c r="L35" s="1646"/>
      <c r="M35" s="1646"/>
      <c r="N35" s="1646"/>
      <c r="O35" s="527" t="s">
        <v>1651</v>
      </c>
      <c r="P35" s="527" t="s">
        <v>1651</v>
      </c>
      <c r="Q35" s="651" t="s">
        <v>1651</v>
      </c>
      <c r="R35" s="1666"/>
    </row>
    <row r="36" spans="1:18" s="376" customFormat="1" ht="9.75" customHeight="1">
      <c r="A36" s="1816"/>
      <c r="B36" s="1736"/>
      <c r="C36" s="1737"/>
      <c r="D36" s="2063"/>
      <c r="E36" s="1786"/>
      <c r="F36" s="1786"/>
      <c r="G36" s="1786"/>
      <c r="H36" s="1809" t="e">
        <f t="shared" si="10"/>
        <v>#DIV/0!</v>
      </c>
      <c r="I36" s="1979"/>
      <c r="J36" s="1699"/>
      <c r="K36" s="1646"/>
      <c r="L36" s="1646"/>
      <c r="M36" s="1646"/>
      <c r="N36" s="1646"/>
      <c r="O36" s="527" t="s">
        <v>469</v>
      </c>
      <c r="P36" s="527" t="s">
        <v>469</v>
      </c>
      <c r="Q36" s="651" t="s">
        <v>469</v>
      </c>
      <c r="R36" s="1671"/>
    </row>
    <row r="37" spans="1:18" s="376" customFormat="1" ht="18.649999999999999" hidden="1" customHeight="1">
      <c r="A37" s="617"/>
      <c r="B37" s="616" t="s">
        <v>1550</v>
      </c>
      <c r="C37" s="1161"/>
      <c r="D37" s="911" t="s">
        <v>1587</v>
      </c>
      <c r="E37" s="537">
        <v>1.8</v>
      </c>
      <c r="F37" s="537">
        <v>1.8</v>
      </c>
      <c r="G37" s="537">
        <v>1.522</v>
      </c>
      <c r="H37" s="537"/>
      <c r="I37" s="537">
        <v>1.9</v>
      </c>
      <c r="J37" s="1517"/>
      <c r="K37" s="616"/>
      <c r="L37" s="616"/>
      <c r="M37" s="616"/>
      <c r="N37" s="616"/>
      <c r="O37" s="829"/>
      <c r="P37" s="829"/>
      <c r="Q37" s="830"/>
      <c r="R37" s="1299"/>
    </row>
    <row r="38" spans="1:18" s="376" customFormat="1" ht="17.5" hidden="1" customHeight="1">
      <c r="A38" s="617"/>
      <c r="B38" s="616" t="s">
        <v>485</v>
      </c>
      <c r="C38" s="1161"/>
      <c r="D38" s="911" t="s">
        <v>668</v>
      </c>
      <c r="E38" s="537">
        <v>0.6</v>
      </c>
      <c r="F38" s="537">
        <v>0.83699999999999997</v>
      </c>
      <c r="G38" s="537">
        <v>0.755</v>
      </c>
      <c r="H38" s="537"/>
      <c r="I38" s="537">
        <v>0.7</v>
      </c>
      <c r="J38" s="1517"/>
      <c r="K38" s="616"/>
      <c r="L38" s="616"/>
      <c r="M38" s="616"/>
      <c r="N38" s="616"/>
      <c r="O38" s="829"/>
      <c r="P38" s="829"/>
      <c r="Q38" s="830"/>
      <c r="R38" s="1299"/>
    </row>
    <row r="39" spans="1:18" ht="33.65" customHeight="1">
      <c r="A39" s="1767" t="s">
        <v>2073</v>
      </c>
      <c r="B39" s="1769" t="s">
        <v>2849</v>
      </c>
      <c r="C39" s="1957" t="s">
        <v>1401</v>
      </c>
      <c r="D39" s="659" t="s">
        <v>668</v>
      </c>
      <c r="E39" s="734">
        <v>10</v>
      </c>
      <c r="F39" s="734">
        <v>10</v>
      </c>
      <c r="G39" s="734">
        <v>0</v>
      </c>
      <c r="H39" s="734">
        <f>G39/F39</f>
        <v>0</v>
      </c>
      <c r="I39" s="734"/>
      <c r="J39" s="1699" t="s">
        <v>3456</v>
      </c>
      <c r="K39" s="1646" t="s">
        <v>20</v>
      </c>
      <c r="L39" s="1646" t="s">
        <v>1652</v>
      </c>
      <c r="M39" s="1646" t="s">
        <v>469</v>
      </c>
      <c r="N39" s="1646" t="s">
        <v>469</v>
      </c>
      <c r="O39" s="1637" t="s">
        <v>613</v>
      </c>
      <c r="P39" s="1637" t="s">
        <v>613</v>
      </c>
      <c r="Q39" s="2049" t="s">
        <v>613</v>
      </c>
      <c r="R39" s="1665" t="s">
        <v>3548</v>
      </c>
    </row>
    <row r="40" spans="1:18" ht="26.5" customHeight="1">
      <c r="A40" s="1803"/>
      <c r="B40" s="1736"/>
      <c r="C40" s="1737"/>
      <c r="D40" s="656" t="s">
        <v>341</v>
      </c>
      <c r="E40" s="701"/>
      <c r="F40" s="734">
        <v>15.537000000000001</v>
      </c>
      <c r="G40" s="734">
        <v>10.548999999999999</v>
      </c>
      <c r="H40" s="702">
        <f>G40/F40</f>
        <v>0.67895990216901581</v>
      </c>
      <c r="I40" s="701">
        <v>4.9880000000000004</v>
      </c>
      <c r="J40" s="1700"/>
      <c r="K40" s="1646"/>
      <c r="L40" s="1646"/>
      <c r="M40" s="1646"/>
      <c r="N40" s="1646"/>
      <c r="O40" s="1638"/>
      <c r="P40" s="1638"/>
      <c r="Q40" s="2051"/>
      <c r="R40" s="1666"/>
    </row>
    <row r="41" spans="1:18" ht="18.649999999999999" customHeight="1">
      <c r="A41" s="1803"/>
      <c r="B41" s="1736"/>
      <c r="C41" s="1737"/>
      <c r="D41" s="705" t="s">
        <v>1321</v>
      </c>
      <c r="E41" s="706">
        <f>SUM(E39:E40)</f>
        <v>10</v>
      </c>
      <c r="F41" s="706">
        <f t="shared" ref="F41:H41" si="12">SUM(F39:F40)</f>
        <v>25.536999999999999</v>
      </c>
      <c r="G41" s="706">
        <f t="shared" si="12"/>
        <v>10.548999999999999</v>
      </c>
      <c r="H41" s="707">
        <f t="shared" si="12"/>
        <v>0.67895990216901581</v>
      </c>
      <c r="I41" s="706">
        <f t="shared" ref="I41" si="13">SUM(I39:I40)</f>
        <v>4.9880000000000004</v>
      </c>
      <c r="J41" s="1700"/>
      <c r="K41" s="1646"/>
      <c r="L41" s="1646"/>
      <c r="M41" s="1646"/>
      <c r="N41" s="1646"/>
      <c r="O41" s="1639"/>
      <c r="P41" s="1639"/>
      <c r="Q41" s="2050"/>
      <c r="R41" s="1671"/>
    </row>
    <row r="42" spans="1:18" ht="48.75" customHeight="1">
      <c r="A42" s="1767" t="s">
        <v>2074</v>
      </c>
      <c r="B42" s="1769" t="s">
        <v>1458</v>
      </c>
      <c r="C42" s="1957" t="s">
        <v>1401</v>
      </c>
      <c r="D42" s="659" t="s">
        <v>1326</v>
      </c>
      <c r="E42" s="734">
        <v>37.200000000000003</v>
      </c>
      <c r="F42" s="734">
        <v>37.200000000000003</v>
      </c>
      <c r="G42" s="734">
        <v>37.200000000000003</v>
      </c>
      <c r="H42" s="803">
        <f>G42/F42</f>
        <v>1</v>
      </c>
      <c r="I42" s="734">
        <v>54.4</v>
      </c>
      <c r="J42" s="1641" t="s">
        <v>3678</v>
      </c>
      <c r="K42" s="1639" t="s">
        <v>3452</v>
      </c>
      <c r="L42" s="1639" t="s">
        <v>2600</v>
      </c>
      <c r="M42" s="1637" t="s">
        <v>1653</v>
      </c>
      <c r="N42" s="1637" t="s">
        <v>3589</v>
      </c>
      <c r="O42" s="1637" t="s">
        <v>1653</v>
      </c>
      <c r="P42" s="1637" t="s">
        <v>1653</v>
      </c>
      <c r="Q42" s="2049" t="s">
        <v>1653</v>
      </c>
      <c r="R42" s="1665" t="s">
        <v>3545</v>
      </c>
    </row>
    <row r="43" spans="1:18" ht="87" customHeight="1">
      <c r="A43" s="1803"/>
      <c r="B43" s="1736"/>
      <c r="C43" s="1737"/>
      <c r="D43" s="705" t="s">
        <v>1321</v>
      </c>
      <c r="E43" s="706">
        <f>SUM(E42:E42)</f>
        <v>37.200000000000003</v>
      </c>
      <c r="F43" s="706">
        <f t="shared" ref="F43:G43" si="14">SUM(F42:F42)</f>
        <v>37.200000000000003</v>
      </c>
      <c r="G43" s="706">
        <f t="shared" si="14"/>
        <v>37.200000000000003</v>
      </c>
      <c r="H43" s="707">
        <f>G43/F43</f>
        <v>1</v>
      </c>
      <c r="I43" s="706">
        <f t="shared" ref="I43" si="15">SUM(I42:I42)</f>
        <v>54.4</v>
      </c>
      <c r="J43" s="1700"/>
      <c r="K43" s="1646"/>
      <c r="L43" s="1646"/>
      <c r="M43" s="1639"/>
      <c r="N43" s="1639"/>
      <c r="O43" s="1639"/>
      <c r="P43" s="1639"/>
      <c r="Q43" s="2050"/>
      <c r="R43" s="1671"/>
    </row>
    <row r="44" spans="1:18" ht="49.5" customHeight="1">
      <c r="A44" s="1767" t="s">
        <v>2075</v>
      </c>
      <c r="B44" s="1769" t="s">
        <v>1459</v>
      </c>
      <c r="C44" s="1957" t="s">
        <v>1401</v>
      </c>
      <c r="D44" s="659" t="s">
        <v>668</v>
      </c>
      <c r="E44" s="734">
        <v>20</v>
      </c>
      <c r="F44" s="734">
        <v>20</v>
      </c>
      <c r="G44" s="734">
        <v>11.244999999999999</v>
      </c>
      <c r="H44" s="803">
        <f>G44/F44</f>
        <v>0.56224999999999992</v>
      </c>
      <c r="I44" s="734">
        <v>20</v>
      </c>
      <c r="J44" s="1699" t="s">
        <v>3679</v>
      </c>
      <c r="K44" s="1639" t="s">
        <v>3453</v>
      </c>
      <c r="L44" s="1639" t="s">
        <v>1654</v>
      </c>
      <c r="M44" s="1637" t="s">
        <v>612</v>
      </c>
      <c r="N44" s="1637" t="s">
        <v>1531</v>
      </c>
      <c r="O44" s="1637" t="s">
        <v>612</v>
      </c>
      <c r="P44" s="1637" t="s">
        <v>1568</v>
      </c>
      <c r="Q44" s="2049" t="s">
        <v>1568</v>
      </c>
      <c r="R44" s="1665" t="s">
        <v>3548</v>
      </c>
    </row>
    <row r="45" spans="1:18" ht="33.75" customHeight="1">
      <c r="A45" s="1803"/>
      <c r="B45" s="1736"/>
      <c r="C45" s="1737"/>
      <c r="D45" s="705" t="s">
        <v>1321</v>
      </c>
      <c r="E45" s="706">
        <f>SUM(E44:E44)</f>
        <v>20</v>
      </c>
      <c r="F45" s="706">
        <f t="shared" ref="F45:G45" si="16">SUM(F44:F44)</f>
        <v>20</v>
      </c>
      <c r="G45" s="706">
        <f t="shared" si="16"/>
        <v>11.244999999999999</v>
      </c>
      <c r="H45" s="707">
        <f>G45/F45</f>
        <v>0.56224999999999992</v>
      </c>
      <c r="I45" s="706">
        <f t="shared" ref="I45" si="17">SUM(I44:I44)</f>
        <v>20</v>
      </c>
      <c r="J45" s="1700"/>
      <c r="K45" s="1646"/>
      <c r="L45" s="1646"/>
      <c r="M45" s="1639"/>
      <c r="N45" s="1639"/>
      <c r="O45" s="1639"/>
      <c r="P45" s="1639"/>
      <c r="Q45" s="2050"/>
      <c r="R45" s="1671"/>
    </row>
    <row r="46" spans="1:18" ht="25.95" customHeight="1">
      <c r="A46" s="1767" t="s">
        <v>2537</v>
      </c>
      <c r="B46" s="1769" t="s">
        <v>2879</v>
      </c>
      <c r="C46" s="1957" t="s">
        <v>1401</v>
      </c>
      <c r="D46" s="659" t="s">
        <v>668</v>
      </c>
      <c r="E46" s="734"/>
      <c r="F46" s="734"/>
      <c r="G46" s="734"/>
      <c r="H46" s="734"/>
      <c r="I46" s="734"/>
      <c r="J46" s="1699" t="s">
        <v>3777</v>
      </c>
      <c r="K46" s="1639" t="s">
        <v>3454</v>
      </c>
      <c r="L46" s="1639" t="s">
        <v>2778</v>
      </c>
      <c r="M46" s="1637" t="s">
        <v>612</v>
      </c>
      <c r="N46" s="1637" t="s">
        <v>1568</v>
      </c>
      <c r="O46" s="1637" t="s">
        <v>1568</v>
      </c>
      <c r="P46" s="1637" t="s">
        <v>1568</v>
      </c>
      <c r="Q46" s="2049" t="s">
        <v>613</v>
      </c>
      <c r="R46" s="1665" t="s">
        <v>3548</v>
      </c>
    </row>
    <row r="47" spans="1:18" ht="32.5" customHeight="1">
      <c r="A47" s="1767"/>
      <c r="B47" s="1769"/>
      <c r="C47" s="1957"/>
      <c r="D47" s="659" t="s">
        <v>341</v>
      </c>
      <c r="E47" s="734"/>
      <c r="F47" s="734"/>
      <c r="G47" s="734"/>
      <c r="H47" s="1300"/>
      <c r="I47" s="1300">
        <v>400</v>
      </c>
      <c r="J47" s="1699"/>
      <c r="K47" s="1639"/>
      <c r="L47" s="1639"/>
      <c r="M47" s="1638"/>
      <c r="N47" s="1638"/>
      <c r="O47" s="1638"/>
      <c r="P47" s="1638"/>
      <c r="Q47" s="2051"/>
      <c r="R47" s="1666"/>
    </row>
    <row r="48" spans="1:18" ht="112.95" customHeight="1">
      <c r="A48" s="1803"/>
      <c r="B48" s="1736"/>
      <c r="C48" s="1737"/>
      <c r="D48" s="705" t="s">
        <v>1321</v>
      </c>
      <c r="E48" s="706"/>
      <c r="F48" s="905"/>
      <c r="G48" s="905"/>
      <c r="H48" s="706"/>
      <c r="I48" s="706">
        <f t="shared" ref="I48" si="18">SUM(I46:I47)</f>
        <v>400</v>
      </c>
      <c r="J48" s="1700"/>
      <c r="K48" s="1646"/>
      <c r="L48" s="1646"/>
      <c r="M48" s="1639"/>
      <c r="N48" s="1639"/>
      <c r="O48" s="1639"/>
      <c r="P48" s="1639"/>
      <c r="Q48" s="2050"/>
      <c r="R48" s="1671"/>
    </row>
    <row r="49" spans="1:18" ht="27" customHeight="1">
      <c r="A49" s="1767" t="s">
        <v>2538</v>
      </c>
      <c r="B49" s="1769" t="s">
        <v>2776</v>
      </c>
      <c r="C49" s="1957" t="s">
        <v>1401</v>
      </c>
      <c r="D49" s="659" t="s">
        <v>668</v>
      </c>
      <c r="E49" s="734"/>
      <c r="F49" s="734"/>
      <c r="G49" s="734"/>
      <c r="H49" s="734"/>
      <c r="I49" s="734"/>
      <c r="J49" s="1699" t="s">
        <v>3590</v>
      </c>
      <c r="K49" s="1639" t="s">
        <v>3455</v>
      </c>
      <c r="L49" s="1639" t="s">
        <v>1655</v>
      </c>
      <c r="M49" s="1637" t="s">
        <v>613</v>
      </c>
      <c r="N49" s="1637" t="s">
        <v>613</v>
      </c>
      <c r="O49" s="1637" t="s">
        <v>613</v>
      </c>
      <c r="P49" s="1637" t="s">
        <v>469</v>
      </c>
      <c r="Q49" s="2049" t="s">
        <v>469</v>
      </c>
      <c r="R49" s="1665" t="s">
        <v>3626</v>
      </c>
    </row>
    <row r="50" spans="1:18" ht="28.95" customHeight="1">
      <c r="A50" s="1803"/>
      <c r="B50" s="1736"/>
      <c r="C50" s="1737"/>
      <c r="D50" s="656" t="s">
        <v>341</v>
      </c>
      <c r="E50" s="701"/>
      <c r="F50" s="734"/>
      <c r="G50" s="734"/>
      <c r="H50" s="701"/>
      <c r="I50" s="701"/>
      <c r="J50" s="1700"/>
      <c r="K50" s="1646"/>
      <c r="L50" s="1646"/>
      <c r="M50" s="1638"/>
      <c r="N50" s="1638"/>
      <c r="O50" s="1638"/>
      <c r="P50" s="1638"/>
      <c r="Q50" s="2051"/>
      <c r="R50" s="1666"/>
    </row>
    <row r="51" spans="1:18" ht="25.95" customHeight="1">
      <c r="A51" s="1803"/>
      <c r="B51" s="1736"/>
      <c r="C51" s="1737"/>
      <c r="D51" s="705" t="s">
        <v>1321</v>
      </c>
      <c r="E51" s="706"/>
      <c r="F51" s="905"/>
      <c r="G51" s="905"/>
      <c r="H51" s="706"/>
      <c r="I51" s="706">
        <f t="shared" ref="I51" si="19">SUM(I49:I50)</f>
        <v>0</v>
      </c>
      <c r="J51" s="1700"/>
      <c r="K51" s="1646"/>
      <c r="L51" s="1646"/>
      <c r="M51" s="1639"/>
      <c r="N51" s="1639"/>
      <c r="O51" s="1639"/>
      <c r="P51" s="1639"/>
      <c r="Q51" s="2050"/>
      <c r="R51" s="1671"/>
    </row>
    <row r="52" spans="1:18" ht="44.5" hidden="1" customHeight="1">
      <c r="A52" s="1767" t="s">
        <v>2539</v>
      </c>
      <c r="B52" s="1769" t="s">
        <v>2777</v>
      </c>
      <c r="C52" s="1957" t="s">
        <v>1401</v>
      </c>
      <c r="D52" s="659" t="s">
        <v>668</v>
      </c>
      <c r="E52" s="734"/>
      <c r="F52" s="734"/>
      <c r="G52" s="734"/>
      <c r="H52" s="1301"/>
      <c r="I52" s="1301"/>
      <c r="J52" s="1699" t="s">
        <v>2601</v>
      </c>
      <c r="K52" s="1639" t="s">
        <v>1642</v>
      </c>
      <c r="L52" s="1639" t="s">
        <v>1655</v>
      </c>
      <c r="M52" s="526"/>
      <c r="N52" s="526"/>
      <c r="O52" s="1637" t="s">
        <v>613</v>
      </c>
      <c r="P52" s="1637" t="s">
        <v>613</v>
      </c>
      <c r="Q52" s="2049" t="s">
        <v>469</v>
      </c>
      <c r="R52" s="1189"/>
    </row>
    <row r="53" spans="1:18" ht="43.95" hidden="1" customHeight="1">
      <c r="A53" s="1766"/>
      <c r="B53" s="1768"/>
      <c r="C53" s="1957"/>
      <c r="D53" s="659" t="s">
        <v>341</v>
      </c>
      <c r="E53" s="734"/>
      <c r="F53" s="734"/>
      <c r="G53" s="734"/>
      <c r="H53" s="1301"/>
      <c r="I53" s="1301"/>
      <c r="J53" s="1699"/>
      <c r="K53" s="1639"/>
      <c r="L53" s="1639"/>
      <c r="M53" s="526"/>
      <c r="N53" s="526"/>
      <c r="O53" s="1638"/>
      <c r="P53" s="1638"/>
      <c r="Q53" s="2051"/>
      <c r="R53" s="1189"/>
    </row>
    <row r="54" spans="1:18" ht="52.2" hidden="1" customHeight="1">
      <c r="A54" s="1765"/>
      <c r="B54" s="1956"/>
      <c r="C54" s="1737"/>
      <c r="D54" s="705" t="s">
        <v>1321</v>
      </c>
      <c r="E54" s="706">
        <f>SUM(E52:E53)</f>
        <v>0</v>
      </c>
      <c r="F54" s="905"/>
      <c r="G54" s="905"/>
      <c r="H54" s="706"/>
      <c r="I54" s="706">
        <f>SUM(I52:I53)</f>
        <v>0</v>
      </c>
      <c r="J54" s="1700"/>
      <c r="K54" s="1646"/>
      <c r="L54" s="1646"/>
      <c r="M54" s="527"/>
      <c r="N54" s="527"/>
      <c r="O54" s="1639"/>
      <c r="P54" s="1639"/>
      <c r="Q54" s="2050"/>
      <c r="R54" s="1189"/>
    </row>
    <row r="55" spans="1:18" ht="38.5" customHeight="1">
      <c r="A55" s="469" t="s">
        <v>2079</v>
      </c>
      <c r="B55" s="689" t="s">
        <v>1460</v>
      </c>
      <c r="C55" s="1104"/>
      <c r="D55" s="501"/>
      <c r="E55" s="502">
        <f>SUM(E61,E63,E66,)</f>
        <v>14.951000000000001</v>
      </c>
      <c r="F55" s="502">
        <f t="shared" ref="F55:G55" si="20">SUM(F61,F63,F66,)</f>
        <v>36.433</v>
      </c>
      <c r="G55" s="502">
        <f t="shared" si="20"/>
        <v>28.986999999999998</v>
      </c>
      <c r="H55" s="539">
        <f>G55/F55</f>
        <v>0.79562484560700464</v>
      </c>
      <c r="I55" s="502">
        <f>SUM(I58,I61,I63,I66,I74,I77)</f>
        <v>236.34800000000001</v>
      </c>
      <c r="J55" s="1653"/>
      <c r="K55" s="1654"/>
      <c r="L55" s="1654"/>
      <c r="M55" s="1654"/>
      <c r="N55" s="1654"/>
      <c r="O55" s="1654"/>
      <c r="P55" s="1654"/>
      <c r="Q55" s="1654"/>
      <c r="R55" s="1919"/>
    </row>
    <row r="56" spans="1:18" ht="28.95" customHeight="1">
      <c r="A56" s="1803" t="s">
        <v>2443</v>
      </c>
      <c r="B56" s="1889" t="s">
        <v>2880</v>
      </c>
      <c r="C56" s="1935">
        <v>188711925</v>
      </c>
      <c r="D56" s="724" t="s">
        <v>668</v>
      </c>
      <c r="E56" s="701"/>
      <c r="F56" s="734"/>
      <c r="G56" s="734"/>
      <c r="H56" s="701"/>
      <c r="I56" s="701">
        <v>34.1</v>
      </c>
      <c r="J56" s="1640" t="s">
        <v>3778</v>
      </c>
      <c r="K56" s="1639" t="s">
        <v>162</v>
      </c>
      <c r="L56" s="1639" t="s">
        <v>3038</v>
      </c>
      <c r="M56" s="1637" t="s">
        <v>613</v>
      </c>
      <c r="N56" s="1637" t="s">
        <v>613</v>
      </c>
      <c r="O56" s="1637" t="s">
        <v>469</v>
      </c>
      <c r="P56" s="1637" t="s">
        <v>613</v>
      </c>
      <c r="Q56" s="2049" t="s">
        <v>613</v>
      </c>
      <c r="R56" s="1665" t="s">
        <v>3626</v>
      </c>
    </row>
    <row r="57" spans="1:18" ht="26.5" customHeight="1">
      <c r="A57" s="1803"/>
      <c r="B57" s="1889"/>
      <c r="C57" s="1935"/>
      <c r="D57" s="724" t="s">
        <v>341</v>
      </c>
      <c r="E57" s="701"/>
      <c r="F57" s="734"/>
      <c r="G57" s="734"/>
      <c r="H57" s="701"/>
      <c r="I57" s="701"/>
      <c r="J57" s="2057"/>
      <c r="K57" s="1639"/>
      <c r="L57" s="1639"/>
      <c r="M57" s="1638"/>
      <c r="N57" s="1638"/>
      <c r="O57" s="1638"/>
      <c r="P57" s="1638"/>
      <c r="Q57" s="2051"/>
      <c r="R57" s="1666"/>
    </row>
    <row r="58" spans="1:18" ht="42.65" customHeight="1">
      <c r="A58" s="1803"/>
      <c r="B58" s="1889"/>
      <c r="C58" s="1935"/>
      <c r="D58" s="727" t="s">
        <v>1321</v>
      </c>
      <c r="E58" s="706"/>
      <c r="F58" s="905"/>
      <c r="G58" s="905"/>
      <c r="H58" s="706"/>
      <c r="I58" s="706">
        <f t="shared" ref="I58" si="21">I56</f>
        <v>34.1</v>
      </c>
      <c r="J58" s="2016"/>
      <c r="K58" s="1646"/>
      <c r="L58" s="1646"/>
      <c r="M58" s="1639"/>
      <c r="N58" s="1639"/>
      <c r="O58" s="1639"/>
      <c r="P58" s="1639"/>
      <c r="Q58" s="2050"/>
      <c r="R58" s="1671"/>
    </row>
    <row r="59" spans="1:18" ht="57" hidden="1" customHeight="1">
      <c r="A59" s="1803" t="s">
        <v>2612</v>
      </c>
      <c r="B59" s="1889"/>
      <c r="C59" s="1935"/>
      <c r="D59" s="724"/>
      <c r="E59" s="701"/>
      <c r="F59" s="734"/>
      <c r="G59" s="734"/>
      <c r="H59" s="701"/>
      <c r="I59" s="701"/>
      <c r="J59" s="1640"/>
      <c r="K59" s="1639"/>
      <c r="L59" s="1639"/>
      <c r="M59" s="526"/>
      <c r="N59" s="526"/>
      <c r="O59" s="1637"/>
      <c r="P59" s="1637"/>
      <c r="Q59" s="2049"/>
      <c r="R59" s="1189"/>
    </row>
    <row r="60" spans="1:18" ht="25.2" hidden="1" customHeight="1">
      <c r="A60" s="1803"/>
      <c r="B60" s="1889"/>
      <c r="C60" s="1935"/>
      <c r="D60" s="724"/>
      <c r="E60" s="701"/>
      <c r="F60" s="734"/>
      <c r="G60" s="734"/>
      <c r="H60" s="701"/>
      <c r="I60" s="701"/>
      <c r="J60" s="1642"/>
      <c r="K60" s="1639"/>
      <c r="L60" s="1639"/>
      <c r="M60" s="526"/>
      <c r="N60" s="526"/>
      <c r="O60" s="1638"/>
      <c r="P60" s="1638"/>
      <c r="Q60" s="2051"/>
      <c r="R60" s="1189"/>
    </row>
    <row r="61" spans="1:18" ht="34.200000000000003" hidden="1" customHeight="1">
      <c r="A61" s="1803"/>
      <c r="B61" s="1889"/>
      <c r="C61" s="1935"/>
      <c r="D61" s="727"/>
      <c r="E61" s="706"/>
      <c r="F61" s="905"/>
      <c r="G61" s="905"/>
      <c r="H61" s="706"/>
      <c r="I61" s="706"/>
      <c r="J61" s="1708"/>
      <c r="K61" s="1646"/>
      <c r="L61" s="1646"/>
      <c r="M61" s="527"/>
      <c r="N61" s="527"/>
      <c r="O61" s="1639"/>
      <c r="P61" s="1639"/>
      <c r="Q61" s="2050"/>
      <c r="R61" s="1189"/>
    </row>
    <row r="62" spans="1:18" ht="55.2" customHeight="1">
      <c r="A62" s="1803" t="s">
        <v>2611</v>
      </c>
      <c r="B62" s="1889" t="s">
        <v>2881</v>
      </c>
      <c r="C62" s="1935">
        <v>155936576</v>
      </c>
      <c r="D62" s="724" t="s">
        <v>341</v>
      </c>
      <c r="E62" s="701"/>
      <c r="F62" s="734"/>
      <c r="G62" s="734"/>
      <c r="H62" s="1285"/>
      <c r="I62" s="1285">
        <v>129.036</v>
      </c>
      <c r="J62" s="1640" t="s">
        <v>3591</v>
      </c>
      <c r="K62" s="1639" t="s">
        <v>196</v>
      </c>
      <c r="L62" s="1639" t="s">
        <v>1656</v>
      </c>
      <c r="M62" s="1637" t="s">
        <v>613</v>
      </c>
      <c r="N62" s="1637" t="s">
        <v>613</v>
      </c>
      <c r="O62" s="1637" t="s">
        <v>469</v>
      </c>
      <c r="P62" s="1637" t="s">
        <v>613</v>
      </c>
      <c r="Q62" s="2049" t="s">
        <v>613</v>
      </c>
      <c r="R62" s="1991" t="s">
        <v>3626</v>
      </c>
    </row>
    <row r="63" spans="1:18" ht="86.25" customHeight="1">
      <c r="A63" s="1803"/>
      <c r="B63" s="1890"/>
      <c r="C63" s="1936"/>
      <c r="D63" s="730" t="s">
        <v>1321</v>
      </c>
      <c r="E63" s="731"/>
      <c r="F63" s="905"/>
      <c r="G63" s="905"/>
      <c r="H63" s="731"/>
      <c r="I63" s="731">
        <f t="shared" ref="I63" si="22">I62</f>
        <v>129.036</v>
      </c>
      <c r="J63" s="1708"/>
      <c r="K63" s="1646"/>
      <c r="L63" s="1646"/>
      <c r="M63" s="1639"/>
      <c r="N63" s="1639"/>
      <c r="O63" s="1639"/>
      <c r="P63" s="1639"/>
      <c r="Q63" s="2050"/>
      <c r="R63" s="1993"/>
    </row>
    <row r="64" spans="1:18" ht="25.2" customHeight="1">
      <c r="A64" s="1803" t="s">
        <v>2076</v>
      </c>
      <c r="B64" s="1791" t="s">
        <v>1461</v>
      </c>
      <c r="C64" s="1826">
        <v>188711925</v>
      </c>
      <c r="D64" s="724" t="s">
        <v>668</v>
      </c>
      <c r="E64" s="701">
        <v>14.951000000000001</v>
      </c>
      <c r="F64" s="701">
        <v>14.951000000000001</v>
      </c>
      <c r="G64" s="734">
        <v>7.5049999999999999</v>
      </c>
      <c r="H64" s="702">
        <f t="shared" ref="H64:H69" si="23">G64/F64</f>
        <v>0.50197311216641027</v>
      </c>
      <c r="I64" s="701"/>
      <c r="J64" s="1699" t="s">
        <v>2486</v>
      </c>
      <c r="K64" s="1639" t="s">
        <v>197</v>
      </c>
      <c r="L64" s="1639" t="s">
        <v>1657</v>
      </c>
      <c r="M64" s="1637" t="s">
        <v>551</v>
      </c>
      <c r="N64" s="1637" t="s">
        <v>551</v>
      </c>
      <c r="O64" s="1637" t="s">
        <v>551</v>
      </c>
      <c r="P64" s="1637" t="s">
        <v>613</v>
      </c>
      <c r="Q64" s="2049" t="s">
        <v>613</v>
      </c>
      <c r="R64" s="1665" t="s">
        <v>3548</v>
      </c>
    </row>
    <row r="65" spans="1:18" ht="23.5" customHeight="1">
      <c r="A65" s="1803"/>
      <c r="B65" s="1836"/>
      <c r="C65" s="1839"/>
      <c r="D65" s="1136" t="s">
        <v>341</v>
      </c>
      <c r="E65" s="798"/>
      <c r="F65" s="734">
        <v>21.481999999999999</v>
      </c>
      <c r="G65" s="734">
        <v>21.481999999999999</v>
      </c>
      <c r="H65" s="763">
        <f t="shared" si="23"/>
        <v>1</v>
      </c>
      <c r="I65" s="798"/>
      <c r="J65" s="1700"/>
      <c r="K65" s="1639"/>
      <c r="L65" s="1639"/>
      <c r="M65" s="1638"/>
      <c r="N65" s="1638"/>
      <c r="O65" s="1638"/>
      <c r="P65" s="1638"/>
      <c r="Q65" s="2051"/>
      <c r="R65" s="1666"/>
    </row>
    <row r="66" spans="1:18" ht="18" customHeight="1">
      <c r="A66" s="1765"/>
      <c r="B66" s="1836"/>
      <c r="C66" s="1839"/>
      <c r="D66" s="730" t="s">
        <v>1321</v>
      </c>
      <c r="E66" s="731">
        <f>E64</f>
        <v>14.951000000000001</v>
      </c>
      <c r="F66" s="706">
        <f>F64+F65</f>
        <v>36.433</v>
      </c>
      <c r="G66" s="731">
        <f>G64+G65</f>
        <v>28.986999999999998</v>
      </c>
      <c r="H66" s="746">
        <f t="shared" si="23"/>
        <v>0.79562484560700464</v>
      </c>
      <c r="I66" s="731">
        <f t="shared" ref="I66" si="24">I64</f>
        <v>0</v>
      </c>
      <c r="J66" s="1700"/>
      <c r="K66" s="1646"/>
      <c r="L66" s="1646"/>
      <c r="M66" s="1639"/>
      <c r="N66" s="1639"/>
      <c r="O66" s="1639"/>
      <c r="P66" s="1639"/>
      <c r="Q66" s="2050"/>
      <c r="R66" s="1671"/>
    </row>
    <row r="67" spans="1:18" ht="39" customHeight="1">
      <c r="A67" s="469" t="s">
        <v>3035</v>
      </c>
      <c r="B67" s="496" t="s">
        <v>1462</v>
      </c>
      <c r="C67" s="690"/>
      <c r="D67" s="501"/>
      <c r="E67" s="1147">
        <f>SUM(E69)</f>
        <v>1.18</v>
      </c>
      <c r="F67" s="1147">
        <f>SUM(F69)</f>
        <v>1.073</v>
      </c>
      <c r="G67" s="1147">
        <f t="shared" ref="G67" si="25">SUM(G69)</f>
        <v>1.0720000000000001</v>
      </c>
      <c r="H67" s="1302">
        <f t="shared" si="23"/>
        <v>0.99906803355079232</v>
      </c>
      <c r="I67" s="1147">
        <f t="shared" ref="I67" si="26">SUM(I69)</f>
        <v>0</v>
      </c>
      <c r="J67" s="2052"/>
      <c r="K67" s="2053"/>
      <c r="L67" s="2053"/>
      <c r="M67" s="2053"/>
      <c r="N67" s="2053"/>
      <c r="O67" s="2053"/>
      <c r="P67" s="2053"/>
      <c r="Q67" s="2053"/>
      <c r="R67" s="2054"/>
    </row>
    <row r="68" spans="1:18" ht="32.25" customHeight="1">
      <c r="A68" s="1803" t="s">
        <v>2077</v>
      </c>
      <c r="B68" s="1791" t="s">
        <v>1463</v>
      </c>
      <c r="C68" s="1826" t="s">
        <v>1325</v>
      </c>
      <c r="D68" s="724" t="s">
        <v>668</v>
      </c>
      <c r="E68" s="701">
        <v>1.18</v>
      </c>
      <c r="F68" s="701">
        <v>1.073</v>
      </c>
      <c r="G68" s="701">
        <v>1.0720000000000001</v>
      </c>
      <c r="H68" s="1303">
        <f t="shared" si="23"/>
        <v>0.99906803355079232</v>
      </c>
      <c r="I68" s="701"/>
      <c r="J68" s="1699" t="s">
        <v>3714</v>
      </c>
      <c r="K68" s="1639" t="s">
        <v>630</v>
      </c>
      <c r="L68" s="1639" t="s">
        <v>3347</v>
      </c>
      <c r="M68" s="1637" t="s">
        <v>11</v>
      </c>
      <c r="N68" s="1637" t="s">
        <v>3592</v>
      </c>
      <c r="O68" s="1637" t="s">
        <v>11</v>
      </c>
      <c r="P68" s="1637" t="s">
        <v>1533</v>
      </c>
      <c r="Q68" s="2049" t="s">
        <v>1606</v>
      </c>
      <c r="R68" s="1991" t="s">
        <v>3548</v>
      </c>
    </row>
    <row r="69" spans="1:18" ht="51" customHeight="1">
      <c r="A69" s="1765"/>
      <c r="B69" s="1836"/>
      <c r="C69" s="1839"/>
      <c r="D69" s="1127" t="s">
        <v>1321</v>
      </c>
      <c r="E69" s="706">
        <f>E68</f>
        <v>1.18</v>
      </c>
      <c r="F69" s="706">
        <f t="shared" ref="F69:G69" si="27">F68</f>
        <v>1.073</v>
      </c>
      <c r="G69" s="706">
        <f t="shared" si="27"/>
        <v>1.0720000000000001</v>
      </c>
      <c r="H69" s="707">
        <f t="shared" si="23"/>
        <v>0.99906803355079232</v>
      </c>
      <c r="I69" s="798">
        <f t="shared" ref="I69" si="28">I68</f>
        <v>0</v>
      </c>
      <c r="J69" s="1700"/>
      <c r="K69" s="1637"/>
      <c r="L69" s="1637"/>
      <c r="M69" s="1639"/>
      <c r="N69" s="1639"/>
      <c r="O69" s="1639"/>
      <c r="P69" s="1639"/>
      <c r="Q69" s="2050"/>
      <c r="R69" s="1993"/>
    </row>
    <row r="70" spans="1:18" ht="19.5" hidden="1" customHeight="1">
      <c r="A70" s="617"/>
      <c r="B70" s="921" t="s">
        <v>485</v>
      </c>
      <c r="C70" s="1169"/>
      <c r="D70" s="1152"/>
      <c r="E70" s="537"/>
      <c r="F70" s="537">
        <v>0.84299999999999997</v>
      </c>
      <c r="G70" s="537">
        <v>0.84199999999999997</v>
      </c>
      <c r="H70" s="537"/>
      <c r="I70" s="464"/>
      <c r="J70" s="1493"/>
      <c r="K70" s="483"/>
      <c r="L70" s="483"/>
      <c r="M70" s="483" t="s">
        <v>3348</v>
      </c>
      <c r="N70" s="483"/>
      <c r="O70" s="1304"/>
      <c r="P70" s="1304"/>
      <c r="Q70" s="1304"/>
      <c r="R70" s="1187"/>
    </row>
    <row r="71" spans="1:18" ht="21.75" hidden="1" customHeight="1">
      <c r="A71" s="617"/>
      <c r="B71" s="1135" t="s">
        <v>2871</v>
      </c>
      <c r="C71" s="1169"/>
      <c r="D71" s="1152"/>
      <c r="E71" s="537"/>
      <c r="F71" s="537">
        <v>0.23</v>
      </c>
      <c r="G71" s="537">
        <v>0.23</v>
      </c>
      <c r="H71" s="537"/>
      <c r="I71" s="464"/>
      <c r="J71" s="1493"/>
      <c r="K71" s="483"/>
      <c r="L71" s="483"/>
      <c r="M71" s="483" t="s">
        <v>3539</v>
      </c>
      <c r="N71" s="483"/>
      <c r="O71" s="1305"/>
      <c r="P71" s="1305"/>
      <c r="Q71" s="1305"/>
      <c r="R71" s="1187"/>
    </row>
    <row r="72" spans="1:18" ht="48" hidden="1" customHeight="1">
      <c r="A72" s="1767" t="s">
        <v>2614</v>
      </c>
      <c r="B72" s="1824" t="s">
        <v>2613</v>
      </c>
      <c r="C72" s="1828">
        <v>191342858</v>
      </c>
      <c r="D72" s="923" t="s">
        <v>668</v>
      </c>
      <c r="E72" s="701"/>
      <c r="F72" s="701"/>
      <c r="G72" s="701"/>
      <c r="H72" s="1285"/>
      <c r="I72" s="1300"/>
      <c r="J72" s="1641" t="s">
        <v>2623</v>
      </c>
      <c r="K72" s="1639" t="s">
        <v>2624</v>
      </c>
      <c r="L72" s="1639" t="s">
        <v>1618</v>
      </c>
      <c r="M72" s="526"/>
      <c r="N72" s="526"/>
      <c r="O72" s="1637" t="s">
        <v>613</v>
      </c>
      <c r="P72" s="1637" t="s">
        <v>613</v>
      </c>
      <c r="Q72" s="1637" t="s">
        <v>469</v>
      </c>
      <c r="R72" s="1200"/>
    </row>
    <row r="73" spans="1:18" ht="23.5" hidden="1" customHeight="1">
      <c r="A73" s="1803"/>
      <c r="B73" s="1836"/>
      <c r="C73" s="1839"/>
      <c r="D73" s="1387" t="s">
        <v>341</v>
      </c>
      <c r="E73" s="701"/>
      <c r="F73" s="701"/>
      <c r="G73" s="701"/>
      <c r="H73" s="1285"/>
      <c r="I73" s="1306"/>
      <c r="J73" s="1700"/>
      <c r="K73" s="1639"/>
      <c r="L73" s="1639"/>
      <c r="M73" s="526"/>
      <c r="N73" s="526"/>
      <c r="O73" s="1638"/>
      <c r="P73" s="1638"/>
      <c r="Q73" s="1638"/>
      <c r="R73" s="1200"/>
    </row>
    <row r="74" spans="1:18" ht="40.5" hidden="1" customHeight="1">
      <c r="A74" s="1765"/>
      <c r="B74" s="1836"/>
      <c r="C74" s="1839"/>
      <c r="D74" s="1127" t="s">
        <v>1321</v>
      </c>
      <c r="E74" s="706">
        <f>E72</f>
        <v>0</v>
      </c>
      <c r="F74" s="701"/>
      <c r="G74" s="701"/>
      <c r="H74" s="706"/>
      <c r="I74" s="731">
        <f t="shared" ref="I74" si="29">I72</f>
        <v>0</v>
      </c>
      <c r="J74" s="1700"/>
      <c r="K74" s="1646"/>
      <c r="L74" s="1646"/>
      <c r="M74" s="527"/>
      <c r="N74" s="527"/>
      <c r="O74" s="1639"/>
      <c r="P74" s="1639"/>
      <c r="Q74" s="1639"/>
      <c r="R74" s="1200"/>
    </row>
    <row r="75" spans="1:18" ht="48.65" hidden="1" customHeight="1">
      <c r="A75" s="1803" t="s">
        <v>2620</v>
      </c>
      <c r="B75" s="1791" t="s">
        <v>2779</v>
      </c>
      <c r="C75" s="1826">
        <v>188711925</v>
      </c>
      <c r="D75" s="926" t="s">
        <v>668</v>
      </c>
      <c r="E75" s="701"/>
      <c r="F75" s="701"/>
      <c r="G75" s="701"/>
      <c r="H75" s="1285"/>
      <c r="I75" s="1285"/>
      <c r="J75" s="1699" t="s">
        <v>2622</v>
      </c>
      <c r="K75" s="1639" t="s">
        <v>2625</v>
      </c>
      <c r="L75" s="1639" t="s">
        <v>2621</v>
      </c>
      <c r="M75" s="526"/>
      <c r="N75" s="526"/>
      <c r="O75" s="1637" t="s">
        <v>469</v>
      </c>
      <c r="P75" s="1637" t="s">
        <v>613</v>
      </c>
      <c r="Q75" s="1637" t="s">
        <v>613</v>
      </c>
      <c r="R75" s="1200"/>
    </row>
    <row r="76" spans="1:18" ht="37.950000000000003" hidden="1" customHeight="1">
      <c r="A76" s="1803"/>
      <c r="B76" s="1836"/>
      <c r="C76" s="1839"/>
      <c r="D76" s="1387" t="s">
        <v>341</v>
      </c>
      <c r="E76" s="701"/>
      <c r="F76" s="701"/>
      <c r="G76" s="701"/>
      <c r="H76" s="1285"/>
      <c r="I76" s="1285">
        <v>73.212000000000003</v>
      </c>
      <c r="J76" s="1700"/>
      <c r="K76" s="1639"/>
      <c r="L76" s="1639"/>
      <c r="M76" s="526"/>
      <c r="N76" s="526"/>
      <c r="O76" s="1638"/>
      <c r="P76" s="1638"/>
      <c r="Q76" s="1638"/>
      <c r="R76" s="1200"/>
    </row>
    <row r="77" spans="1:18" ht="40.5" hidden="1" customHeight="1">
      <c r="A77" s="1765"/>
      <c r="B77" s="1836"/>
      <c r="C77" s="1839"/>
      <c r="D77" s="1127" t="s">
        <v>1321</v>
      </c>
      <c r="E77" s="706">
        <f>E75</f>
        <v>0</v>
      </c>
      <c r="F77" s="701"/>
      <c r="G77" s="701"/>
      <c r="H77" s="706"/>
      <c r="I77" s="731">
        <f>I76</f>
        <v>73.212000000000003</v>
      </c>
      <c r="J77" s="1700"/>
      <c r="K77" s="1646"/>
      <c r="L77" s="1646"/>
      <c r="M77" s="527"/>
      <c r="N77" s="527"/>
      <c r="O77" s="1639"/>
      <c r="P77" s="1639"/>
      <c r="Q77" s="1639"/>
      <c r="R77" s="1200"/>
    </row>
    <row r="78" spans="1:18" ht="70.5" customHeight="1">
      <c r="A78" s="1892"/>
      <c r="B78" s="1892"/>
      <c r="C78" s="1892"/>
      <c r="D78" s="2056"/>
      <c r="E78" s="640" t="s">
        <v>2857</v>
      </c>
      <c r="F78" s="1460" t="s">
        <v>2856</v>
      </c>
      <c r="G78" s="1460" t="s">
        <v>2878</v>
      </c>
      <c r="H78" s="807" t="s">
        <v>2859</v>
      </c>
      <c r="I78" s="807" t="str">
        <f>I11</f>
        <v>2024  m.asignavimai ir kitos lėšos, tūkst. Eur</v>
      </c>
      <c r="J78" s="1502"/>
      <c r="K78" s="1307"/>
      <c r="L78" s="1307"/>
      <c r="M78" s="1307"/>
      <c r="N78" s="1307"/>
      <c r="O78" s="1307"/>
      <c r="P78" s="1307"/>
      <c r="Q78" s="1307"/>
      <c r="R78" s="1200"/>
    </row>
    <row r="79" spans="1:18" ht="29.5" customHeight="1">
      <c r="A79" s="1984" t="s">
        <v>986</v>
      </c>
      <c r="B79" s="1985"/>
      <c r="C79" s="1985"/>
      <c r="D79" s="1987"/>
      <c r="E79" s="729">
        <f>SUM(E80:E86)</f>
        <v>240.535</v>
      </c>
      <c r="F79" s="729">
        <f>SUM(F80,F82,F83,F84,F85,)</f>
        <v>280.084</v>
      </c>
      <c r="G79" s="729">
        <f>SUM(G80,G82,G83,G84,G85,)</f>
        <v>240.10199999999998</v>
      </c>
      <c r="H79" s="975">
        <f>G79/F79</f>
        <v>0.85724996786678276</v>
      </c>
      <c r="I79" s="1308">
        <f>I80+I82+I83+I84+I85+I86</f>
        <v>764.38000000000011</v>
      </c>
      <c r="J79" s="1504"/>
      <c r="K79" s="478"/>
      <c r="L79" s="478"/>
      <c r="M79" s="478"/>
      <c r="N79" s="478"/>
      <c r="O79" s="478"/>
      <c r="P79" s="478"/>
      <c r="Q79" s="478"/>
      <c r="R79" s="1200"/>
    </row>
    <row r="80" spans="1:18" ht="32.25" customHeight="1">
      <c r="A80" s="1981" t="s">
        <v>2867</v>
      </c>
      <c r="B80" s="1982"/>
      <c r="C80" s="1982"/>
      <c r="D80" s="1983"/>
      <c r="E80" s="701">
        <f>SUM(E24,E28,E30,E32,E39,E44,E46,E49,E59,E62,E64,E68,E14)</f>
        <v>59.535000000000004</v>
      </c>
      <c r="F80" s="701">
        <f t="shared" ref="F80:G80" si="30">SUM(F24,F28,F30,F32,F39,F44,F46,F49,F59,F62,F64,F68,F14)</f>
        <v>62.064999999999998</v>
      </c>
      <c r="G80" s="701">
        <f t="shared" si="30"/>
        <v>27.348999999999997</v>
      </c>
      <c r="H80" s="975">
        <f t="shared" ref="H80:H88" si="31">G80/F80</f>
        <v>0.4406509304761137</v>
      </c>
      <c r="I80" s="701">
        <f>SUM(I24,I28,I32,I39,I44,I46,I49,I52,I56,I59,I64,I81)</f>
        <v>65.899999999999991</v>
      </c>
      <c r="J80" s="1504"/>
      <c r="K80" s="478"/>
      <c r="L80" s="478"/>
      <c r="M80" s="478"/>
      <c r="N80" s="478"/>
      <c r="O80" s="478"/>
      <c r="P80" s="478"/>
      <c r="Q80" s="478"/>
      <c r="R80" s="1200"/>
    </row>
    <row r="81" spans="1:18" ht="32.5" customHeight="1">
      <c r="A81" s="2064" t="s">
        <v>2755</v>
      </c>
      <c r="B81" s="2065"/>
      <c r="C81" s="2065"/>
      <c r="D81" s="2066"/>
      <c r="E81" s="1463"/>
      <c r="F81" s="1463">
        <f>F14</f>
        <v>15.204000000000001</v>
      </c>
      <c r="G81" s="1463">
        <f>G14</f>
        <v>6.7720000000000002</v>
      </c>
      <c r="H81" s="975">
        <f t="shared" si="31"/>
        <v>0.44540910286766638</v>
      </c>
      <c r="I81" s="1309">
        <f>19.54-8.44</f>
        <v>11.1</v>
      </c>
      <c r="J81" s="1504"/>
      <c r="K81" s="478"/>
      <c r="L81" s="478"/>
      <c r="M81" s="478"/>
      <c r="N81" s="478"/>
      <c r="O81" s="478"/>
      <c r="P81" s="478"/>
      <c r="Q81" s="478"/>
      <c r="R81" s="1200"/>
    </row>
    <row r="82" spans="1:18" ht="31.95" customHeight="1">
      <c r="A82" s="1981" t="s">
        <v>988</v>
      </c>
      <c r="B82" s="1982"/>
      <c r="C82" s="1982"/>
      <c r="D82" s="1983"/>
      <c r="E82" s="701">
        <f>SUM(E33,E26,E42,)</f>
        <v>181</v>
      </c>
      <c r="F82" s="701">
        <f t="shared" ref="F82:G82" si="32">SUM(F33,F26,F42,)</f>
        <v>181</v>
      </c>
      <c r="G82" s="701">
        <f t="shared" si="32"/>
        <v>180.72199999999998</v>
      </c>
      <c r="H82" s="975">
        <f t="shared" si="31"/>
        <v>0.99846408839778999</v>
      </c>
      <c r="I82" s="701">
        <f>SUM(I33,I26,I42,)</f>
        <v>211.84</v>
      </c>
      <c r="J82" s="1504"/>
      <c r="K82" s="478"/>
      <c r="L82" s="478"/>
      <c r="M82" s="478"/>
      <c r="N82" s="478"/>
      <c r="O82" s="478"/>
      <c r="P82" s="478"/>
      <c r="Q82" s="478"/>
      <c r="R82" s="1200"/>
    </row>
    <row r="83" spans="1:18" ht="26.25" customHeight="1">
      <c r="A83" s="1981" t="s">
        <v>989</v>
      </c>
      <c r="B83" s="1982"/>
      <c r="C83" s="1982"/>
      <c r="D83" s="1983"/>
      <c r="E83" s="701">
        <v>0</v>
      </c>
      <c r="F83" s="701">
        <v>0</v>
      </c>
      <c r="G83" s="701">
        <v>0</v>
      </c>
      <c r="H83" s="975"/>
      <c r="I83" s="701">
        <v>0</v>
      </c>
      <c r="J83" s="1504"/>
      <c r="K83" s="478"/>
      <c r="L83" s="478"/>
      <c r="M83" s="478"/>
      <c r="N83" s="478"/>
      <c r="O83" s="478"/>
      <c r="P83" s="478"/>
      <c r="Q83" s="478"/>
      <c r="R83" s="1200"/>
    </row>
    <row r="84" spans="1:18" ht="38.25" customHeight="1">
      <c r="A84" s="1981" t="s">
        <v>2695</v>
      </c>
      <c r="B84" s="1982"/>
      <c r="C84" s="1982"/>
      <c r="D84" s="1983"/>
      <c r="E84" s="701">
        <f>SUM(E40,E47,E50,E53,E57,E60,E65,E76,E73,E62,)</f>
        <v>0</v>
      </c>
      <c r="F84" s="701">
        <f t="shared" ref="F84:G84" si="33">SUM(F40,F47,F50,F53,F57,F60,F65,F76,F73,F62,)</f>
        <v>37.018999999999998</v>
      </c>
      <c r="G84" s="701">
        <f t="shared" si="33"/>
        <v>32.030999999999999</v>
      </c>
      <c r="H84" s="975">
        <f t="shared" si="31"/>
        <v>0.86525838083146489</v>
      </c>
      <c r="I84" s="701">
        <f>SUM(I40,I47,I50,I53,I57,I60,I65,I76,I73,)</f>
        <v>478.2</v>
      </c>
      <c r="J84" s="1504"/>
      <c r="K84" s="478"/>
      <c r="L84" s="478"/>
      <c r="M84" s="478"/>
      <c r="N84" s="478"/>
      <c r="O84" s="478"/>
      <c r="P84" s="478"/>
      <c r="Q84" s="478"/>
      <c r="R84" s="1200"/>
    </row>
    <row r="85" spans="1:18" ht="27.75" customHeight="1">
      <c r="A85" s="1981" t="s">
        <v>990</v>
      </c>
      <c r="B85" s="1982"/>
      <c r="C85" s="1982"/>
      <c r="D85" s="1983"/>
      <c r="E85" s="701">
        <v>0</v>
      </c>
      <c r="F85" s="701">
        <v>0</v>
      </c>
      <c r="G85" s="701">
        <v>0</v>
      </c>
      <c r="H85" s="975"/>
      <c r="I85" s="701">
        <v>0</v>
      </c>
      <c r="J85" s="1504"/>
      <c r="K85" s="478"/>
      <c r="L85" s="478"/>
      <c r="M85" s="478"/>
      <c r="N85" s="478"/>
      <c r="O85" s="478"/>
      <c r="P85" s="478"/>
      <c r="Q85" s="478"/>
      <c r="R85" s="1200"/>
    </row>
    <row r="86" spans="1:18" ht="20.149999999999999" hidden="1" customHeight="1">
      <c r="A86" s="657"/>
      <c r="B86" s="1692" t="s">
        <v>991</v>
      </c>
      <c r="C86" s="1692"/>
      <c r="D86" s="1692"/>
      <c r="E86" s="701">
        <v>0</v>
      </c>
      <c r="F86" s="734"/>
      <c r="G86" s="734"/>
      <c r="H86" s="975"/>
      <c r="I86" s="701">
        <f>I15</f>
        <v>8.44</v>
      </c>
      <c r="J86" s="1504"/>
      <c r="K86" s="478"/>
      <c r="L86" s="478"/>
      <c r="M86" s="478"/>
      <c r="N86" s="478"/>
      <c r="O86" s="478"/>
      <c r="P86" s="478"/>
      <c r="Q86" s="478"/>
      <c r="R86" s="1200"/>
    </row>
    <row r="87" spans="1:18" ht="45.65" customHeight="1">
      <c r="A87" s="1984" t="s">
        <v>992</v>
      </c>
      <c r="B87" s="1985"/>
      <c r="C87" s="1985"/>
      <c r="D87" s="1987"/>
      <c r="E87" s="701">
        <v>0</v>
      </c>
      <c r="F87" s="701">
        <v>0</v>
      </c>
      <c r="G87" s="701">
        <v>0</v>
      </c>
      <c r="H87" s="975"/>
      <c r="I87" s="701">
        <f>SUM(I62)</f>
        <v>129.036</v>
      </c>
      <c r="J87" s="1504"/>
      <c r="K87" s="478"/>
      <c r="L87" s="478"/>
      <c r="M87" s="478"/>
      <c r="N87" s="478"/>
      <c r="O87" s="478"/>
      <c r="P87" s="478"/>
      <c r="Q87" s="478"/>
      <c r="R87" s="1200"/>
    </row>
    <row r="88" spans="1:18" ht="32.25" customHeight="1">
      <c r="A88" s="1984" t="s">
        <v>1334</v>
      </c>
      <c r="B88" s="1985"/>
      <c r="C88" s="1985"/>
      <c r="D88" s="1987"/>
      <c r="E88" s="703">
        <f>SUM(E79,E87)</f>
        <v>240.535</v>
      </c>
      <c r="F88" s="703">
        <f t="shared" ref="F88:G88" si="34">SUM(F79,F87)</f>
        <v>280.084</v>
      </c>
      <c r="G88" s="703">
        <f t="shared" si="34"/>
        <v>240.10199999999998</v>
      </c>
      <c r="H88" s="975">
        <f t="shared" si="31"/>
        <v>0.85724996786678276</v>
      </c>
      <c r="I88" s="703">
        <f>SUM(I79,I87)</f>
        <v>893.41600000000017</v>
      </c>
      <c r="J88" s="1504"/>
      <c r="K88" s="478"/>
      <c r="L88" s="478"/>
      <c r="M88" s="478"/>
      <c r="N88" s="478"/>
      <c r="O88" s="478"/>
      <c r="P88" s="478"/>
      <c r="Q88" s="478"/>
      <c r="R88" s="1200"/>
    </row>
    <row r="89" spans="1:18" ht="33" hidden="1" customHeight="1">
      <c r="A89" s="470"/>
      <c r="B89" s="1785" t="s">
        <v>1948</v>
      </c>
      <c r="C89" s="1785"/>
      <c r="D89" s="1785"/>
      <c r="E89" s="472">
        <v>0</v>
      </c>
      <c r="F89" s="472">
        <v>0</v>
      </c>
      <c r="G89" s="472">
        <v>0</v>
      </c>
      <c r="H89" s="514"/>
      <c r="I89" s="472">
        <f>I54+I51</f>
        <v>0</v>
      </c>
      <c r="J89" s="1504"/>
      <c r="K89" s="468"/>
      <c r="L89" s="468"/>
      <c r="M89" s="468"/>
      <c r="N89" s="468"/>
      <c r="O89" s="457"/>
      <c r="P89" s="457"/>
      <c r="Q89" s="457"/>
    </row>
    <row r="90" spans="1:18" ht="23.5" hidden="1" customHeight="1">
      <c r="A90" s="470"/>
      <c r="B90" s="2058" t="s">
        <v>993</v>
      </c>
      <c r="C90" s="2058"/>
      <c r="D90" s="2058"/>
      <c r="E90" s="472">
        <v>0</v>
      </c>
      <c r="F90" s="472">
        <v>0</v>
      </c>
      <c r="G90" s="472">
        <v>0</v>
      </c>
      <c r="H90" s="514"/>
      <c r="I90" s="471">
        <f>I88/F88-1</f>
        <v>2.1898144842261611</v>
      </c>
      <c r="J90" s="1504"/>
      <c r="K90" s="468"/>
      <c r="L90" s="468"/>
      <c r="M90" s="468"/>
      <c r="N90" s="468"/>
      <c r="O90" s="457"/>
      <c r="P90" s="457"/>
      <c r="Q90" s="457"/>
    </row>
    <row r="91" spans="1:18">
      <c r="A91" s="374"/>
      <c r="B91" s="374"/>
      <c r="C91" s="374"/>
      <c r="D91" s="374"/>
      <c r="E91" s="374"/>
      <c r="F91" s="374"/>
      <c r="G91" s="374"/>
      <c r="H91" s="374"/>
      <c r="I91" s="374"/>
      <c r="J91" s="1489"/>
      <c r="K91" s="374"/>
      <c r="L91" s="374"/>
      <c r="M91" s="374"/>
      <c r="N91" s="374"/>
      <c r="O91" s="462"/>
      <c r="P91" s="462"/>
      <c r="Q91" s="462"/>
    </row>
    <row r="92" spans="1:18" hidden="1">
      <c r="A92" s="374"/>
      <c r="B92" s="374"/>
      <c r="C92" s="374"/>
      <c r="D92" s="374"/>
      <c r="E92" s="374"/>
      <c r="F92" s="374"/>
      <c r="G92" s="374"/>
      <c r="H92" s="374"/>
      <c r="I92" s="374"/>
      <c r="J92" s="1489"/>
      <c r="K92" s="374"/>
      <c r="L92" s="374"/>
      <c r="M92" s="374"/>
      <c r="N92" s="374"/>
      <c r="O92" s="462"/>
      <c r="P92" s="462"/>
      <c r="Q92" s="462"/>
    </row>
    <row r="93" spans="1:18" hidden="1">
      <c r="A93" s="2055"/>
      <c r="B93" s="2055"/>
      <c r="C93" s="2055"/>
      <c r="D93" s="371"/>
      <c r="E93" s="392"/>
      <c r="F93" s="392">
        <v>46.860999999999997</v>
      </c>
      <c r="G93" s="392">
        <v>20.576000000000001</v>
      </c>
      <c r="H93" s="392"/>
    </row>
    <row r="94" spans="1:18" hidden="1">
      <c r="A94" s="374"/>
      <c r="B94" s="374"/>
      <c r="C94" s="374"/>
      <c r="D94" s="374"/>
      <c r="E94" s="374"/>
      <c r="F94" s="389">
        <f>F93-F80</f>
        <v>-15.204000000000001</v>
      </c>
      <c r="G94" s="389">
        <f>G93-G80</f>
        <v>-6.7729999999999961</v>
      </c>
      <c r="H94" s="389"/>
    </row>
    <row r="95" spans="1:18" hidden="1">
      <c r="A95" s="374"/>
      <c r="B95" s="374"/>
      <c r="C95" s="374"/>
      <c r="D95" s="374"/>
      <c r="E95" s="1458"/>
      <c r="F95" s="1458"/>
      <c r="G95" s="374"/>
      <c r="H95" s="374"/>
    </row>
    <row r="96" spans="1:18" hidden="1">
      <c r="A96" s="374"/>
      <c r="B96" s="374"/>
      <c r="C96" s="374"/>
      <c r="D96" s="374"/>
      <c r="E96" s="374"/>
      <c r="F96" s="374"/>
      <c r="G96" s="374"/>
      <c r="H96" s="374"/>
    </row>
    <row r="97" spans="1:8">
      <c r="A97" s="374"/>
      <c r="B97" s="374"/>
      <c r="C97" s="374"/>
      <c r="D97" s="374"/>
      <c r="E97" s="374"/>
      <c r="F97" s="374"/>
      <c r="G97" s="374"/>
      <c r="H97" s="374"/>
    </row>
    <row r="98" spans="1:8">
      <c r="A98" s="374"/>
      <c r="B98" s="374"/>
      <c r="C98" s="374"/>
      <c r="D98" s="374"/>
      <c r="E98" s="374"/>
      <c r="F98" s="374"/>
      <c r="G98" s="374"/>
      <c r="H98" s="374"/>
    </row>
    <row r="99" spans="1:8">
      <c r="A99" s="374"/>
      <c r="B99" s="374"/>
      <c r="C99" s="374"/>
      <c r="D99" s="374"/>
      <c r="E99" s="374"/>
      <c r="F99" s="374"/>
      <c r="G99" s="374"/>
      <c r="H99" s="374"/>
    </row>
    <row r="100" spans="1:8">
      <c r="A100" s="374"/>
      <c r="B100" s="374"/>
      <c r="C100" s="374"/>
      <c r="D100" s="374"/>
      <c r="E100" s="374"/>
      <c r="F100" s="374"/>
      <c r="G100" s="374"/>
      <c r="H100" s="374"/>
    </row>
    <row r="101" spans="1:8">
      <c r="A101" s="374"/>
      <c r="B101" s="374"/>
      <c r="C101" s="374"/>
      <c r="D101" s="374"/>
      <c r="E101" s="374"/>
      <c r="F101" s="374"/>
      <c r="G101" s="374"/>
      <c r="H101" s="374"/>
    </row>
    <row r="102" spans="1:8">
      <c r="A102" s="374"/>
      <c r="B102" s="374"/>
      <c r="C102" s="374"/>
      <c r="D102" s="374"/>
      <c r="E102" s="374"/>
      <c r="F102" s="374"/>
      <c r="G102" s="374"/>
      <c r="H102" s="374"/>
    </row>
    <row r="103" spans="1:8">
      <c r="A103" s="374"/>
      <c r="B103" s="374"/>
      <c r="C103" s="374"/>
      <c r="D103" s="374"/>
      <c r="E103" s="374"/>
      <c r="F103" s="374"/>
      <c r="G103" s="374"/>
      <c r="H103" s="374"/>
    </row>
    <row r="104" spans="1:8">
      <c r="A104" s="374"/>
      <c r="B104" s="374"/>
      <c r="C104" s="374"/>
      <c r="D104" s="374"/>
      <c r="E104" s="374"/>
      <c r="F104" s="374"/>
      <c r="G104" s="374"/>
      <c r="H104" s="374"/>
    </row>
    <row r="105" spans="1:8">
      <c r="A105" s="374"/>
      <c r="B105" s="374"/>
      <c r="C105" s="374"/>
      <c r="D105" s="374"/>
      <c r="E105" s="374"/>
      <c r="F105" s="374"/>
      <c r="G105" s="374"/>
      <c r="H105" s="374"/>
    </row>
    <row r="106" spans="1:8">
      <c r="A106" s="374"/>
      <c r="B106" s="374"/>
      <c r="C106" s="374"/>
      <c r="D106" s="374"/>
      <c r="E106" s="374"/>
      <c r="F106" s="374"/>
      <c r="G106" s="374"/>
      <c r="H106" s="374"/>
    </row>
    <row r="107" spans="1:8">
      <c r="A107" s="374"/>
      <c r="B107" s="374"/>
      <c r="C107" s="374"/>
      <c r="D107" s="374"/>
      <c r="E107" s="374"/>
      <c r="F107" s="374"/>
      <c r="G107" s="374"/>
      <c r="H107" s="374"/>
    </row>
    <row r="108" spans="1:8">
      <c r="A108" s="374"/>
      <c r="B108" s="374"/>
      <c r="C108" s="374"/>
      <c r="D108" s="374"/>
      <c r="E108" s="374"/>
      <c r="F108" s="374"/>
      <c r="G108" s="374"/>
      <c r="H108" s="374"/>
    </row>
    <row r="109" spans="1:8">
      <c r="A109" s="374"/>
      <c r="B109" s="374"/>
      <c r="C109" s="374"/>
      <c r="D109" s="374"/>
      <c r="E109" s="374"/>
      <c r="F109" s="374"/>
      <c r="G109" s="374"/>
      <c r="H109" s="374"/>
    </row>
    <row r="110" spans="1:8">
      <c r="A110" s="374"/>
      <c r="B110" s="374"/>
      <c r="C110" s="374"/>
      <c r="D110" s="374"/>
      <c r="E110" s="374"/>
      <c r="F110" s="374"/>
      <c r="G110" s="374"/>
      <c r="H110" s="374"/>
    </row>
    <row r="111" spans="1:8">
      <c r="A111" s="374"/>
      <c r="B111" s="374"/>
      <c r="C111" s="374"/>
      <c r="D111" s="374"/>
      <c r="E111" s="374"/>
      <c r="F111" s="374"/>
      <c r="G111" s="374"/>
      <c r="H111" s="374"/>
    </row>
    <row r="112" spans="1:8">
      <c r="A112" s="374"/>
      <c r="B112" s="374"/>
      <c r="C112" s="374"/>
      <c r="D112" s="374"/>
      <c r="E112" s="374"/>
      <c r="F112" s="374"/>
      <c r="G112" s="374"/>
      <c r="H112" s="374"/>
    </row>
    <row r="113" spans="1:8">
      <c r="A113" s="374"/>
      <c r="B113" s="374"/>
      <c r="C113" s="374"/>
      <c r="D113" s="374"/>
      <c r="E113" s="374"/>
      <c r="F113" s="374"/>
      <c r="G113" s="374"/>
      <c r="H113" s="374"/>
    </row>
    <row r="114" spans="1:8">
      <c r="A114" s="374"/>
      <c r="B114" s="374"/>
      <c r="C114" s="374"/>
      <c r="D114" s="374"/>
      <c r="E114" s="374"/>
      <c r="F114" s="374"/>
      <c r="G114" s="374"/>
      <c r="H114" s="374"/>
    </row>
    <row r="115" spans="1:8">
      <c r="A115" s="374"/>
      <c r="B115" s="374"/>
      <c r="C115" s="374"/>
      <c r="D115" s="374"/>
      <c r="E115" s="374"/>
      <c r="F115" s="374"/>
      <c r="G115" s="374"/>
      <c r="H115" s="374"/>
    </row>
    <row r="116" spans="1:8">
      <c r="A116" s="374"/>
      <c r="B116" s="374"/>
      <c r="C116" s="374"/>
      <c r="D116" s="374"/>
      <c r="E116" s="374"/>
      <c r="F116" s="374"/>
      <c r="G116" s="374"/>
      <c r="H116" s="374"/>
    </row>
    <row r="117" spans="1:8">
      <c r="A117" s="374"/>
      <c r="B117" s="374"/>
      <c r="C117" s="374"/>
      <c r="D117" s="374"/>
      <c r="E117" s="374"/>
      <c r="F117" s="374"/>
      <c r="G117" s="374"/>
      <c r="H117" s="374"/>
    </row>
    <row r="118" spans="1:8">
      <c r="A118" s="374"/>
      <c r="B118" s="374"/>
      <c r="C118" s="374"/>
      <c r="D118" s="374"/>
      <c r="E118" s="374"/>
      <c r="F118" s="374"/>
      <c r="G118" s="374"/>
      <c r="H118" s="374"/>
    </row>
    <row r="119" spans="1:8">
      <c r="A119" s="374"/>
      <c r="B119" s="374"/>
      <c r="C119" s="374"/>
      <c r="D119" s="374"/>
      <c r="E119" s="374"/>
      <c r="F119" s="374"/>
      <c r="G119" s="374"/>
      <c r="H119" s="374"/>
    </row>
    <row r="120" spans="1:8">
      <c r="A120" s="374"/>
      <c r="B120" s="374"/>
      <c r="C120" s="374"/>
      <c r="D120" s="374"/>
      <c r="E120" s="374"/>
      <c r="F120" s="374"/>
      <c r="G120" s="374"/>
      <c r="H120" s="374"/>
    </row>
    <row r="121" spans="1:8">
      <c r="A121" s="374"/>
      <c r="B121" s="374"/>
      <c r="C121" s="374"/>
      <c r="D121" s="374"/>
      <c r="E121" s="374"/>
      <c r="F121" s="374"/>
      <c r="G121" s="374"/>
      <c r="H121" s="374"/>
    </row>
    <row r="122" spans="1:8">
      <c r="A122" s="374"/>
      <c r="B122" s="374"/>
      <c r="C122" s="374"/>
      <c r="D122" s="374"/>
      <c r="E122" s="374"/>
      <c r="F122" s="374"/>
      <c r="G122" s="374"/>
      <c r="H122" s="374"/>
    </row>
    <row r="123" spans="1:8">
      <c r="A123" s="374"/>
      <c r="B123" s="374"/>
      <c r="C123" s="374"/>
      <c r="D123" s="374"/>
      <c r="E123" s="374"/>
      <c r="F123" s="374"/>
      <c r="G123" s="374"/>
      <c r="H123" s="374"/>
    </row>
    <row r="124" spans="1:8">
      <c r="A124" s="374"/>
      <c r="B124" s="374"/>
      <c r="C124" s="374"/>
      <c r="D124" s="374"/>
      <c r="E124" s="374"/>
      <c r="F124" s="374"/>
      <c r="G124" s="374"/>
      <c r="H124" s="374"/>
    </row>
    <row r="125" spans="1:8">
      <c r="A125" s="374"/>
      <c r="B125" s="374"/>
      <c r="C125" s="374"/>
      <c r="D125" s="374"/>
      <c r="E125" s="374"/>
      <c r="F125" s="374"/>
      <c r="G125" s="374"/>
      <c r="H125" s="374"/>
    </row>
    <row r="126" spans="1:8">
      <c r="A126" s="374"/>
      <c r="B126" s="374"/>
      <c r="C126" s="374"/>
      <c r="D126" s="374"/>
      <c r="E126" s="374"/>
      <c r="F126" s="374"/>
      <c r="G126" s="374"/>
      <c r="H126" s="374"/>
    </row>
    <row r="127" spans="1:8">
      <c r="A127" s="374"/>
      <c r="B127" s="374"/>
      <c r="C127" s="374"/>
      <c r="D127" s="374"/>
      <c r="E127" s="374"/>
      <c r="F127" s="374"/>
      <c r="G127" s="374"/>
      <c r="H127" s="374"/>
    </row>
    <row r="128" spans="1:8">
      <c r="A128" s="374"/>
      <c r="B128" s="374"/>
      <c r="C128" s="374"/>
      <c r="D128" s="374"/>
      <c r="E128" s="374"/>
      <c r="F128" s="374"/>
      <c r="G128" s="374"/>
      <c r="H128" s="374"/>
    </row>
    <row r="129" spans="1:8">
      <c r="A129" s="374"/>
      <c r="B129" s="374"/>
      <c r="C129" s="374"/>
      <c r="D129" s="374"/>
      <c r="E129" s="374"/>
      <c r="F129" s="374"/>
      <c r="G129" s="374"/>
      <c r="H129" s="374"/>
    </row>
    <row r="130" spans="1:8">
      <c r="A130" s="374"/>
      <c r="B130" s="374"/>
      <c r="C130" s="374"/>
      <c r="D130" s="374"/>
      <c r="E130" s="374"/>
      <c r="F130" s="374"/>
      <c r="G130" s="374"/>
      <c r="H130" s="374"/>
    </row>
    <row r="131" spans="1:8">
      <c r="A131" s="374"/>
      <c r="B131" s="374"/>
      <c r="C131" s="374"/>
      <c r="D131" s="374"/>
      <c r="E131" s="374"/>
      <c r="F131" s="374"/>
      <c r="G131" s="374"/>
      <c r="H131" s="374"/>
    </row>
    <row r="132" spans="1:8">
      <c r="E132" s="368"/>
      <c r="F132" s="368"/>
    </row>
    <row r="133" spans="1:8">
      <c r="E133" s="368"/>
      <c r="F133" s="368"/>
    </row>
    <row r="134" spans="1:8">
      <c r="E134" s="368"/>
      <c r="F134" s="368"/>
    </row>
    <row r="135" spans="1:8">
      <c r="E135" s="368"/>
      <c r="F135" s="368"/>
    </row>
    <row r="136" spans="1:8">
      <c r="E136" s="368"/>
      <c r="F136" s="368"/>
    </row>
    <row r="137" spans="1:8">
      <c r="E137" s="368"/>
      <c r="F137" s="368"/>
    </row>
    <row r="138" spans="1:8">
      <c r="E138" s="368"/>
      <c r="F138" s="368"/>
    </row>
    <row r="139" spans="1:8">
      <c r="E139" s="368"/>
      <c r="F139" s="368"/>
    </row>
    <row r="140" spans="1:8">
      <c r="E140" s="368"/>
      <c r="F140" s="368"/>
    </row>
    <row r="141" spans="1:8">
      <c r="E141" s="368"/>
      <c r="F141" s="368"/>
    </row>
    <row r="142" spans="1:8">
      <c r="E142" s="368"/>
      <c r="F142" s="368"/>
    </row>
    <row r="143" spans="1:8">
      <c r="E143" s="368"/>
      <c r="F143" s="368"/>
    </row>
    <row r="144" spans="1:8">
      <c r="E144" s="368"/>
      <c r="F144" s="368"/>
    </row>
    <row r="145" spans="5:6">
      <c r="E145" s="368"/>
      <c r="F145" s="368"/>
    </row>
    <row r="146" spans="5:6">
      <c r="E146" s="368"/>
      <c r="F146" s="368"/>
    </row>
    <row r="147" spans="5:6">
      <c r="E147" s="368"/>
      <c r="F147" s="368"/>
    </row>
    <row r="148" spans="5:6">
      <c r="E148" s="368"/>
      <c r="F148" s="368"/>
    </row>
    <row r="149" spans="5:6">
      <c r="E149" s="368"/>
      <c r="F149" s="368"/>
    </row>
    <row r="150" spans="5:6">
      <c r="E150" s="368"/>
      <c r="F150" s="368"/>
    </row>
    <row r="151" spans="5:6">
      <c r="E151" s="368"/>
      <c r="F151" s="368"/>
    </row>
    <row r="152" spans="5:6">
      <c r="E152" s="368"/>
      <c r="F152" s="368"/>
    </row>
    <row r="153" spans="5:6">
      <c r="E153" s="368"/>
      <c r="F153" s="368"/>
    </row>
    <row r="154" spans="5:6">
      <c r="E154" s="368"/>
      <c r="F154" s="368"/>
    </row>
    <row r="155" spans="5:6">
      <c r="E155" s="368"/>
      <c r="F155" s="368"/>
    </row>
    <row r="156" spans="5:6">
      <c r="E156" s="368"/>
      <c r="F156" s="368"/>
    </row>
    <row r="157" spans="5:6">
      <c r="E157" s="368"/>
      <c r="F157" s="368"/>
    </row>
    <row r="158" spans="5:6">
      <c r="E158" s="368"/>
      <c r="F158" s="368"/>
    </row>
    <row r="159" spans="5:6">
      <c r="E159" s="368"/>
      <c r="F159" s="368"/>
    </row>
    <row r="160" spans="5:6">
      <c r="E160" s="368"/>
      <c r="F160" s="368"/>
    </row>
    <row r="161" spans="5:6">
      <c r="E161" s="368"/>
      <c r="F161" s="368"/>
    </row>
    <row r="162" spans="5:6">
      <c r="E162" s="368"/>
      <c r="F162" s="368"/>
    </row>
    <row r="163" spans="5:6">
      <c r="E163" s="368"/>
      <c r="F163" s="368"/>
    </row>
    <row r="164" spans="5:6">
      <c r="E164" s="368"/>
      <c r="F164" s="368"/>
    </row>
    <row r="165" spans="5:6">
      <c r="E165" s="368"/>
      <c r="F165" s="368"/>
    </row>
    <row r="166" spans="5:6">
      <c r="E166" s="368"/>
      <c r="F166" s="368"/>
    </row>
    <row r="167" spans="5:6">
      <c r="E167" s="368"/>
      <c r="F167" s="368"/>
    </row>
    <row r="168" spans="5:6">
      <c r="E168" s="368"/>
      <c r="F168" s="368"/>
    </row>
    <row r="169" spans="5:6">
      <c r="E169" s="368"/>
      <c r="F169" s="368"/>
    </row>
    <row r="170" spans="5:6">
      <c r="E170" s="368"/>
      <c r="F170" s="368"/>
    </row>
    <row r="171" spans="5:6">
      <c r="E171" s="368"/>
      <c r="F171" s="368"/>
    </row>
    <row r="172" spans="5:6">
      <c r="E172" s="368"/>
      <c r="F172" s="368"/>
    </row>
    <row r="173" spans="5:6">
      <c r="E173" s="368"/>
      <c r="F173" s="368"/>
    </row>
    <row r="174" spans="5:6">
      <c r="E174" s="368"/>
      <c r="F174" s="368"/>
    </row>
    <row r="175" spans="5:6">
      <c r="E175" s="368"/>
      <c r="F175" s="368"/>
    </row>
    <row r="176" spans="5:6">
      <c r="E176" s="368"/>
      <c r="F176" s="368"/>
    </row>
    <row r="177" spans="5:6">
      <c r="E177" s="368"/>
      <c r="F177" s="368"/>
    </row>
    <row r="178" spans="5:6">
      <c r="E178" s="368"/>
      <c r="F178" s="368"/>
    </row>
    <row r="179" spans="5:6">
      <c r="E179" s="368"/>
      <c r="F179" s="368"/>
    </row>
    <row r="180" spans="5:6">
      <c r="E180" s="368"/>
      <c r="F180" s="368"/>
    </row>
    <row r="181" spans="5:6">
      <c r="E181" s="368"/>
      <c r="F181" s="368"/>
    </row>
    <row r="182" spans="5:6">
      <c r="E182" s="368"/>
      <c r="F182" s="368"/>
    </row>
    <row r="183" spans="5:6">
      <c r="E183" s="368"/>
      <c r="F183" s="368"/>
    </row>
    <row r="184" spans="5:6">
      <c r="E184" s="368"/>
      <c r="F184" s="368"/>
    </row>
    <row r="185" spans="5:6">
      <c r="E185" s="368"/>
      <c r="F185" s="368"/>
    </row>
    <row r="186" spans="5:6">
      <c r="E186" s="368"/>
      <c r="F186" s="368"/>
    </row>
    <row r="187" spans="5:6">
      <c r="E187" s="368"/>
      <c r="F187" s="368"/>
    </row>
    <row r="188" spans="5:6">
      <c r="E188" s="368"/>
      <c r="F188" s="368"/>
    </row>
    <row r="189" spans="5:6">
      <c r="E189" s="368"/>
      <c r="F189" s="368"/>
    </row>
    <row r="190" spans="5:6">
      <c r="E190" s="368"/>
      <c r="F190" s="368"/>
    </row>
    <row r="191" spans="5:6">
      <c r="E191" s="368"/>
      <c r="F191" s="368"/>
    </row>
    <row r="192" spans="5:6">
      <c r="E192" s="368"/>
      <c r="F192" s="368"/>
    </row>
    <row r="193" spans="5:6">
      <c r="E193" s="368"/>
      <c r="F193" s="368"/>
    </row>
    <row r="194" spans="5:6">
      <c r="E194" s="368"/>
      <c r="F194" s="368"/>
    </row>
    <row r="195" spans="5:6">
      <c r="E195" s="368"/>
      <c r="F195" s="368"/>
    </row>
    <row r="196" spans="5:6">
      <c r="E196" s="368"/>
      <c r="F196" s="368"/>
    </row>
    <row r="197" spans="5:6">
      <c r="E197" s="368"/>
      <c r="F197" s="368"/>
    </row>
    <row r="198" spans="5:6">
      <c r="E198" s="368"/>
      <c r="F198" s="368"/>
    </row>
    <row r="199" spans="5:6">
      <c r="E199" s="368"/>
      <c r="F199" s="368"/>
    </row>
    <row r="200" spans="5:6">
      <c r="E200" s="368"/>
      <c r="F200" s="368"/>
    </row>
    <row r="201" spans="5:6">
      <c r="E201" s="368"/>
      <c r="F201" s="368"/>
    </row>
    <row r="202" spans="5:6">
      <c r="E202" s="368"/>
      <c r="F202" s="368"/>
    </row>
    <row r="203" spans="5:6">
      <c r="E203" s="368"/>
      <c r="F203" s="368"/>
    </row>
    <row r="204" spans="5:6">
      <c r="E204" s="368"/>
      <c r="F204" s="368"/>
    </row>
    <row r="205" spans="5:6">
      <c r="E205" s="368"/>
      <c r="F205" s="368"/>
    </row>
    <row r="206" spans="5:6">
      <c r="E206" s="368"/>
      <c r="F206" s="368"/>
    </row>
    <row r="207" spans="5:6">
      <c r="E207" s="368"/>
      <c r="F207" s="368"/>
    </row>
    <row r="208" spans="5:6">
      <c r="E208" s="368"/>
      <c r="F208" s="368"/>
    </row>
    <row r="209" spans="5:6">
      <c r="E209" s="368"/>
      <c r="F209" s="368"/>
    </row>
    <row r="210" spans="5:6">
      <c r="E210" s="368"/>
      <c r="F210" s="368"/>
    </row>
    <row r="211" spans="5:6">
      <c r="E211" s="368"/>
      <c r="F211" s="368"/>
    </row>
    <row r="212" spans="5:6">
      <c r="E212" s="368"/>
      <c r="F212" s="368"/>
    </row>
    <row r="213" spans="5:6">
      <c r="E213" s="368"/>
      <c r="F213" s="368"/>
    </row>
    <row r="214" spans="5:6">
      <c r="E214" s="368"/>
      <c r="F214" s="368"/>
    </row>
    <row r="215" spans="5:6">
      <c r="E215" s="368"/>
      <c r="F215" s="368"/>
    </row>
    <row r="216" spans="5:6">
      <c r="E216" s="368"/>
      <c r="F216" s="368"/>
    </row>
    <row r="217" spans="5:6">
      <c r="E217" s="368"/>
      <c r="F217" s="368"/>
    </row>
    <row r="218" spans="5:6">
      <c r="E218" s="368"/>
      <c r="F218" s="368"/>
    </row>
    <row r="219" spans="5:6">
      <c r="E219" s="368"/>
      <c r="F219" s="368"/>
    </row>
    <row r="220" spans="5:6">
      <c r="E220" s="368"/>
      <c r="F220" s="368"/>
    </row>
    <row r="221" spans="5:6">
      <c r="E221" s="368"/>
      <c r="F221" s="368"/>
    </row>
    <row r="222" spans="5:6">
      <c r="E222" s="368"/>
      <c r="F222" s="368"/>
    </row>
    <row r="223" spans="5:6">
      <c r="E223" s="368"/>
      <c r="F223" s="368"/>
    </row>
    <row r="224" spans="5:6">
      <c r="E224" s="368"/>
      <c r="F224" s="368"/>
    </row>
    <row r="225" spans="5:6">
      <c r="E225" s="368"/>
      <c r="F225" s="368"/>
    </row>
    <row r="226" spans="5:6">
      <c r="E226" s="368"/>
      <c r="F226" s="368"/>
    </row>
    <row r="227" spans="5:6">
      <c r="E227" s="368"/>
      <c r="F227" s="368"/>
    </row>
    <row r="228" spans="5:6">
      <c r="E228" s="368"/>
      <c r="F228" s="368"/>
    </row>
    <row r="229" spans="5:6">
      <c r="E229" s="368"/>
      <c r="F229" s="368"/>
    </row>
    <row r="230" spans="5:6">
      <c r="E230" s="368"/>
      <c r="F230" s="368"/>
    </row>
    <row r="231" spans="5:6">
      <c r="E231" s="368"/>
      <c r="F231" s="368"/>
    </row>
    <row r="232" spans="5:6">
      <c r="E232" s="368"/>
      <c r="F232" s="368"/>
    </row>
    <row r="233" spans="5:6">
      <c r="E233" s="368"/>
      <c r="F233" s="368"/>
    </row>
    <row r="234" spans="5:6">
      <c r="E234" s="368"/>
      <c r="F234" s="368"/>
    </row>
    <row r="235" spans="5:6">
      <c r="E235" s="368"/>
      <c r="F235" s="368"/>
    </row>
    <row r="236" spans="5:6">
      <c r="E236" s="368"/>
      <c r="F236" s="368"/>
    </row>
    <row r="237" spans="5:6">
      <c r="E237" s="368"/>
      <c r="F237" s="368"/>
    </row>
    <row r="238" spans="5:6">
      <c r="E238" s="368"/>
      <c r="F238" s="368"/>
    </row>
    <row r="239" spans="5:6">
      <c r="E239" s="368"/>
      <c r="F239" s="368"/>
    </row>
    <row r="240" spans="5:6">
      <c r="E240" s="368"/>
      <c r="F240" s="368"/>
    </row>
    <row r="241" spans="5:6">
      <c r="E241" s="368"/>
      <c r="F241" s="368"/>
    </row>
    <row r="242" spans="5:6">
      <c r="E242" s="368"/>
      <c r="F242" s="368"/>
    </row>
    <row r="243" spans="5:6">
      <c r="E243" s="368"/>
      <c r="F243" s="368"/>
    </row>
    <row r="244" spans="5:6">
      <c r="E244" s="368"/>
      <c r="F244" s="368"/>
    </row>
    <row r="245" spans="5:6">
      <c r="E245" s="368"/>
      <c r="F245" s="368"/>
    </row>
    <row r="246" spans="5:6">
      <c r="E246" s="368"/>
      <c r="F246" s="368"/>
    </row>
    <row r="247" spans="5:6">
      <c r="E247" s="368"/>
      <c r="F247" s="368"/>
    </row>
    <row r="248" spans="5:6">
      <c r="E248" s="368"/>
      <c r="F248" s="368"/>
    </row>
    <row r="249" spans="5:6">
      <c r="E249" s="368"/>
      <c r="F249" s="368"/>
    </row>
    <row r="250" spans="5:6">
      <c r="E250" s="368"/>
      <c r="F250" s="368"/>
    </row>
    <row r="251" spans="5:6">
      <c r="E251" s="368"/>
      <c r="F251" s="368"/>
    </row>
    <row r="252" spans="5:6">
      <c r="E252" s="368"/>
      <c r="F252" s="368"/>
    </row>
    <row r="253" spans="5:6">
      <c r="E253" s="368"/>
      <c r="F253" s="368"/>
    </row>
    <row r="254" spans="5:6">
      <c r="E254" s="368"/>
      <c r="F254" s="368"/>
    </row>
    <row r="255" spans="5:6">
      <c r="E255" s="368"/>
      <c r="F255" s="368"/>
    </row>
    <row r="256" spans="5:6">
      <c r="E256" s="368"/>
      <c r="F256" s="368"/>
    </row>
    <row r="257" spans="5:6">
      <c r="E257" s="368"/>
      <c r="F257" s="368"/>
    </row>
    <row r="258" spans="5:6">
      <c r="E258" s="368"/>
      <c r="F258" s="368"/>
    </row>
    <row r="259" spans="5:6">
      <c r="E259" s="368"/>
      <c r="F259" s="368"/>
    </row>
    <row r="260" spans="5:6">
      <c r="E260" s="368"/>
      <c r="F260" s="368"/>
    </row>
    <row r="261" spans="5:6">
      <c r="E261" s="368"/>
      <c r="F261" s="368"/>
    </row>
    <row r="262" spans="5:6">
      <c r="E262" s="368"/>
      <c r="F262" s="368"/>
    </row>
    <row r="263" spans="5:6">
      <c r="E263" s="368"/>
      <c r="F263" s="368"/>
    </row>
    <row r="264" spans="5:6">
      <c r="E264" s="368"/>
      <c r="F264" s="368"/>
    </row>
    <row r="265" spans="5:6">
      <c r="E265" s="368"/>
      <c r="F265" s="368"/>
    </row>
    <row r="266" spans="5:6">
      <c r="E266" s="368"/>
      <c r="F266" s="368"/>
    </row>
    <row r="267" spans="5:6">
      <c r="E267" s="368"/>
      <c r="F267" s="368"/>
    </row>
    <row r="268" spans="5:6">
      <c r="E268" s="368"/>
      <c r="F268" s="368"/>
    </row>
    <row r="269" spans="5:6">
      <c r="E269" s="368"/>
      <c r="F269" s="368"/>
    </row>
    <row r="270" spans="5:6">
      <c r="E270" s="368"/>
      <c r="F270" s="368"/>
    </row>
    <row r="271" spans="5:6">
      <c r="E271" s="368"/>
      <c r="F271" s="368"/>
    </row>
    <row r="272" spans="5:6">
      <c r="E272" s="368"/>
      <c r="F272" s="368"/>
    </row>
    <row r="273" spans="5:6">
      <c r="E273" s="368"/>
      <c r="F273" s="368"/>
    </row>
    <row r="274" spans="5:6">
      <c r="E274" s="368"/>
      <c r="F274" s="368"/>
    </row>
    <row r="275" spans="5:6">
      <c r="E275" s="368"/>
      <c r="F275" s="368"/>
    </row>
    <row r="276" spans="5:6">
      <c r="E276" s="368"/>
      <c r="F276" s="368"/>
    </row>
    <row r="277" spans="5:6">
      <c r="E277" s="368"/>
      <c r="F277" s="368"/>
    </row>
    <row r="278" spans="5:6">
      <c r="E278" s="368"/>
      <c r="F278" s="368"/>
    </row>
    <row r="279" spans="5:6">
      <c r="E279" s="368"/>
      <c r="F279" s="368"/>
    </row>
    <row r="280" spans="5:6">
      <c r="E280" s="368"/>
      <c r="F280" s="368"/>
    </row>
    <row r="281" spans="5:6">
      <c r="E281" s="368"/>
      <c r="F281" s="368"/>
    </row>
    <row r="282" spans="5:6">
      <c r="E282" s="368"/>
      <c r="F282" s="368"/>
    </row>
    <row r="283" spans="5:6">
      <c r="E283" s="368"/>
      <c r="F283" s="368"/>
    </row>
    <row r="284" spans="5:6">
      <c r="E284" s="368"/>
      <c r="F284" s="368"/>
    </row>
    <row r="285" spans="5:6">
      <c r="E285" s="368"/>
      <c r="F285" s="368"/>
    </row>
    <row r="286" spans="5:6">
      <c r="E286" s="368"/>
      <c r="F286" s="368"/>
    </row>
    <row r="287" spans="5:6">
      <c r="E287" s="368"/>
      <c r="F287" s="368"/>
    </row>
    <row r="288" spans="5:6">
      <c r="E288" s="368"/>
      <c r="F288" s="368"/>
    </row>
    <row r="289" spans="5:6">
      <c r="E289" s="368"/>
      <c r="F289" s="368"/>
    </row>
    <row r="290" spans="5:6">
      <c r="E290" s="368"/>
      <c r="F290" s="368"/>
    </row>
    <row r="291" spans="5:6">
      <c r="E291" s="368"/>
      <c r="F291" s="368"/>
    </row>
    <row r="292" spans="5:6">
      <c r="E292" s="368"/>
      <c r="F292" s="368"/>
    </row>
    <row r="293" spans="5:6">
      <c r="E293" s="368"/>
      <c r="F293" s="368"/>
    </row>
    <row r="294" spans="5:6">
      <c r="E294" s="368"/>
      <c r="F294" s="368"/>
    </row>
    <row r="295" spans="5:6">
      <c r="E295" s="368"/>
      <c r="F295" s="368"/>
    </row>
    <row r="296" spans="5:6">
      <c r="E296" s="368"/>
      <c r="F296" s="368"/>
    </row>
    <row r="297" spans="5:6">
      <c r="E297" s="368"/>
      <c r="F297" s="368"/>
    </row>
    <row r="298" spans="5:6">
      <c r="E298" s="368"/>
      <c r="F298" s="368"/>
    </row>
    <row r="299" spans="5:6">
      <c r="E299" s="368"/>
      <c r="F299" s="368"/>
    </row>
    <row r="300" spans="5:6">
      <c r="E300" s="368"/>
      <c r="F300" s="368"/>
    </row>
    <row r="301" spans="5:6">
      <c r="E301" s="368"/>
      <c r="F301" s="368"/>
    </row>
    <row r="302" spans="5:6">
      <c r="E302" s="368"/>
      <c r="F302" s="368"/>
    </row>
    <row r="303" spans="5:6">
      <c r="E303" s="368"/>
      <c r="F303" s="368"/>
    </row>
    <row r="304" spans="5:6">
      <c r="E304" s="368"/>
      <c r="F304" s="368"/>
    </row>
    <row r="305" spans="5:6">
      <c r="E305" s="368"/>
      <c r="F305" s="368"/>
    </row>
    <row r="306" spans="5:6">
      <c r="E306" s="368"/>
      <c r="F306" s="368"/>
    </row>
    <row r="307" spans="5:6">
      <c r="E307" s="368"/>
      <c r="F307" s="368"/>
    </row>
    <row r="308" spans="5:6">
      <c r="E308" s="368"/>
      <c r="F308" s="368"/>
    </row>
    <row r="309" spans="5:6">
      <c r="E309" s="368"/>
      <c r="F309" s="368"/>
    </row>
    <row r="310" spans="5:6">
      <c r="E310" s="368"/>
      <c r="F310" s="368"/>
    </row>
    <row r="311" spans="5:6">
      <c r="E311" s="368"/>
      <c r="F311" s="368"/>
    </row>
    <row r="312" spans="5:6">
      <c r="E312" s="368"/>
      <c r="F312" s="368"/>
    </row>
    <row r="313" spans="5:6">
      <c r="E313" s="368"/>
      <c r="F313" s="368"/>
    </row>
    <row r="314" spans="5:6">
      <c r="E314" s="368"/>
      <c r="F314" s="368"/>
    </row>
    <row r="315" spans="5:6">
      <c r="E315" s="368"/>
      <c r="F315" s="368"/>
    </row>
    <row r="316" spans="5:6">
      <c r="E316" s="368"/>
      <c r="F316" s="368"/>
    </row>
    <row r="317" spans="5:6">
      <c r="E317" s="368"/>
      <c r="F317" s="368"/>
    </row>
    <row r="318" spans="5:6">
      <c r="E318" s="368"/>
      <c r="F318" s="368"/>
    </row>
    <row r="319" spans="5:6">
      <c r="E319" s="368"/>
      <c r="F319" s="368"/>
    </row>
    <row r="320" spans="5:6">
      <c r="E320" s="368"/>
      <c r="F320" s="368"/>
    </row>
    <row r="321" spans="5:6">
      <c r="E321" s="368"/>
      <c r="F321" s="368"/>
    </row>
    <row r="322" spans="5:6">
      <c r="E322" s="368"/>
      <c r="F322" s="368"/>
    </row>
    <row r="323" spans="5:6">
      <c r="E323" s="368"/>
      <c r="F323" s="368"/>
    </row>
    <row r="324" spans="5:6">
      <c r="E324" s="368"/>
      <c r="F324" s="368"/>
    </row>
    <row r="325" spans="5:6">
      <c r="E325" s="368"/>
      <c r="F325" s="368"/>
    </row>
    <row r="326" spans="5:6">
      <c r="E326" s="368"/>
      <c r="F326" s="368"/>
    </row>
    <row r="327" spans="5:6">
      <c r="E327" s="368"/>
      <c r="F327" s="368"/>
    </row>
    <row r="328" spans="5:6">
      <c r="E328" s="368"/>
      <c r="F328" s="368"/>
    </row>
    <row r="329" spans="5:6">
      <c r="E329" s="368"/>
      <c r="F329" s="368"/>
    </row>
    <row r="330" spans="5:6">
      <c r="E330" s="368"/>
      <c r="F330" s="368"/>
    </row>
    <row r="331" spans="5:6">
      <c r="E331" s="368"/>
      <c r="F331" s="368"/>
    </row>
    <row r="332" spans="5:6">
      <c r="E332" s="368"/>
      <c r="F332" s="368"/>
    </row>
    <row r="333" spans="5:6">
      <c r="E333" s="368"/>
      <c r="F333" s="368"/>
    </row>
    <row r="334" spans="5:6">
      <c r="E334" s="368"/>
      <c r="F334" s="368"/>
    </row>
    <row r="335" spans="5:6">
      <c r="E335" s="368"/>
      <c r="F335" s="368"/>
    </row>
    <row r="336" spans="5:6">
      <c r="E336" s="368"/>
      <c r="F336" s="368"/>
    </row>
    <row r="337" spans="5:6">
      <c r="E337" s="368"/>
      <c r="F337" s="368"/>
    </row>
    <row r="338" spans="5:6">
      <c r="E338" s="368"/>
      <c r="F338" s="368"/>
    </row>
    <row r="339" spans="5:6">
      <c r="E339" s="368"/>
      <c r="F339" s="368"/>
    </row>
    <row r="340" spans="5:6">
      <c r="E340" s="368"/>
      <c r="F340" s="368"/>
    </row>
    <row r="341" spans="5:6">
      <c r="E341" s="368"/>
      <c r="F341" s="368"/>
    </row>
    <row r="342" spans="5:6">
      <c r="E342" s="368"/>
      <c r="F342" s="368"/>
    </row>
    <row r="343" spans="5:6">
      <c r="E343" s="368"/>
      <c r="F343" s="368"/>
    </row>
    <row r="344" spans="5:6">
      <c r="E344" s="368"/>
      <c r="F344" s="368"/>
    </row>
    <row r="345" spans="5:6">
      <c r="E345" s="368"/>
      <c r="F345" s="368"/>
    </row>
    <row r="346" spans="5:6">
      <c r="E346" s="368"/>
      <c r="F346" s="368"/>
    </row>
    <row r="347" spans="5:6">
      <c r="E347" s="368"/>
      <c r="F347" s="368"/>
    </row>
    <row r="348" spans="5:6">
      <c r="E348" s="368"/>
      <c r="F348" s="368"/>
    </row>
    <row r="349" spans="5:6">
      <c r="E349" s="368"/>
      <c r="F349" s="368"/>
    </row>
    <row r="350" spans="5:6">
      <c r="E350" s="368"/>
      <c r="F350" s="368"/>
    </row>
    <row r="351" spans="5:6">
      <c r="E351" s="368"/>
      <c r="F351" s="368"/>
    </row>
    <row r="352" spans="5:6">
      <c r="E352" s="368"/>
      <c r="F352" s="368"/>
    </row>
    <row r="353" spans="5:6">
      <c r="E353" s="368"/>
      <c r="F353" s="368"/>
    </row>
    <row r="354" spans="5:6">
      <c r="E354" s="368"/>
      <c r="F354" s="368"/>
    </row>
    <row r="355" spans="5:6">
      <c r="E355" s="368"/>
      <c r="F355" s="368"/>
    </row>
    <row r="356" spans="5:6">
      <c r="E356" s="368"/>
      <c r="F356" s="368"/>
    </row>
    <row r="357" spans="5:6">
      <c r="E357" s="368"/>
      <c r="F357" s="368"/>
    </row>
    <row r="358" spans="5:6">
      <c r="E358" s="368"/>
      <c r="F358" s="368"/>
    </row>
    <row r="359" spans="5:6">
      <c r="E359" s="368"/>
      <c r="F359" s="368"/>
    </row>
    <row r="360" spans="5:6">
      <c r="E360" s="368"/>
      <c r="F360" s="368"/>
    </row>
    <row r="361" spans="5:6">
      <c r="E361" s="368"/>
      <c r="F361" s="368"/>
    </row>
    <row r="362" spans="5:6">
      <c r="E362" s="368"/>
      <c r="F362" s="368"/>
    </row>
    <row r="363" spans="5:6">
      <c r="E363" s="368"/>
      <c r="F363" s="368"/>
    </row>
    <row r="364" spans="5:6">
      <c r="E364" s="368"/>
      <c r="F364" s="368"/>
    </row>
    <row r="365" spans="5:6">
      <c r="E365" s="368"/>
      <c r="F365" s="368"/>
    </row>
    <row r="366" spans="5:6">
      <c r="E366" s="368"/>
      <c r="F366" s="368"/>
    </row>
    <row r="367" spans="5:6">
      <c r="E367" s="368"/>
      <c r="F367" s="368"/>
    </row>
    <row r="368" spans="5:6">
      <c r="E368" s="368"/>
      <c r="F368" s="368"/>
    </row>
    <row r="369" spans="5:6">
      <c r="E369" s="368"/>
      <c r="F369" s="368"/>
    </row>
    <row r="370" spans="5:6">
      <c r="E370" s="368"/>
      <c r="F370" s="368"/>
    </row>
    <row r="371" spans="5:6">
      <c r="E371" s="368"/>
      <c r="F371" s="368"/>
    </row>
    <row r="372" spans="5:6">
      <c r="E372" s="368"/>
      <c r="F372" s="368"/>
    </row>
    <row r="373" spans="5:6">
      <c r="E373" s="368"/>
      <c r="F373" s="368"/>
    </row>
    <row r="374" spans="5:6">
      <c r="E374" s="368"/>
      <c r="F374" s="368"/>
    </row>
    <row r="375" spans="5:6">
      <c r="E375" s="368"/>
      <c r="F375" s="368"/>
    </row>
    <row r="376" spans="5:6">
      <c r="E376" s="368"/>
      <c r="F376" s="368"/>
    </row>
    <row r="377" spans="5:6">
      <c r="E377" s="368"/>
      <c r="F377" s="368"/>
    </row>
    <row r="378" spans="5:6">
      <c r="E378" s="368"/>
      <c r="F378" s="368"/>
    </row>
    <row r="379" spans="5:6">
      <c r="E379" s="368"/>
      <c r="F379" s="368"/>
    </row>
    <row r="380" spans="5:6">
      <c r="E380" s="368"/>
      <c r="F380" s="368"/>
    </row>
    <row r="381" spans="5:6">
      <c r="E381" s="368"/>
      <c r="F381" s="368"/>
    </row>
    <row r="382" spans="5:6">
      <c r="E382" s="368"/>
      <c r="F382" s="368"/>
    </row>
    <row r="383" spans="5:6">
      <c r="E383" s="368"/>
      <c r="F383" s="368"/>
    </row>
    <row r="384" spans="5:6">
      <c r="E384" s="368"/>
      <c r="F384" s="368"/>
    </row>
    <row r="385" spans="5:6">
      <c r="E385" s="368"/>
      <c r="F385" s="368"/>
    </row>
    <row r="386" spans="5:6">
      <c r="E386" s="368"/>
      <c r="F386" s="368"/>
    </row>
    <row r="387" spans="5:6">
      <c r="E387" s="368"/>
      <c r="F387" s="368"/>
    </row>
    <row r="388" spans="5:6">
      <c r="E388" s="368"/>
      <c r="F388" s="368"/>
    </row>
    <row r="389" spans="5:6">
      <c r="E389" s="368"/>
      <c r="F389" s="368"/>
    </row>
    <row r="390" spans="5:6">
      <c r="E390" s="368"/>
      <c r="F390" s="368"/>
    </row>
    <row r="391" spans="5:6">
      <c r="E391" s="368"/>
      <c r="F391" s="368"/>
    </row>
    <row r="392" spans="5:6">
      <c r="E392" s="368"/>
      <c r="F392" s="368"/>
    </row>
    <row r="393" spans="5:6">
      <c r="E393" s="368"/>
      <c r="F393" s="368"/>
    </row>
    <row r="394" spans="5:6">
      <c r="E394" s="368"/>
      <c r="F394" s="368"/>
    </row>
    <row r="395" spans="5:6">
      <c r="E395" s="368"/>
      <c r="F395" s="368"/>
    </row>
    <row r="396" spans="5:6">
      <c r="E396" s="368"/>
      <c r="F396" s="368"/>
    </row>
    <row r="397" spans="5:6">
      <c r="E397" s="368"/>
      <c r="F397" s="368"/>
    </row>
    <row r="398" spans="5:6">
      <c r="E398" s="368"/>
      <c r="F398" s="368"/>
    </row>
    <row r="399" spans="5:6">
      <c r="E399" s="368"/>
      <c r="F399" s="368"/>
    </row>
    <row r="400" spans="5:6">
      <c r="E400" s="368"/>
      <c r="F400" s="368"/>
    </row>
    <row r="401" spans="5:6">
      <c r="E401" s="368"/>
      <c r="F401" s="368"/>
    </row>
    <row r="402" spans="5:6">
      <c r="E402" s="368"/>
      <c r="F402" s="368"/>
    </row>
    <row r="403" spans="5:6">
      <c r="E403" s="368"/>
      <c r="F403" s="368"/>
    </row>
    <row r="404" spans="5:6">
      <c r="E404" s="368"/>
      <c r="F404" s="368"/>
    </row>
    <row r="405" spans="5:6">
      <c r="E405" s="368"/>
      <c r="F405" s="368"/>
    </row>
    <row r="406" spans="5:6">
      <c r="E406" s="368"/>
      <c r="F406" s="368"/>
    </row>
    <row r="407" spans="5:6">
      <c r="E407" s="368"/>
      <c r="F407" s="368"/>
    </row>
    <row r="408" spans="5:6">
      <c r="E408" s="368"/>
      <c r="F408" s="368"/>
    </row>
    <row r="409" spans="5:6">
      <c r="E409" s="368"/>
      <c r="F409" s="368"/>
    </row>
    <row r="410" spans="5:6">
      <c r="E410" s="368"/>
      <c r="F410" s="368"/>
    </row>
    <row r="411" spans="5:6">
      <c r="E411" s="368"/>
      <c r="F411" s="368"/>
    </row>
    <row r="412" spans="5:6">
      <c r="E412" s="368"/>
      <c r="F412" s="368"/>
    </row>
    <row r="413" spans="5:6">
      <c r="E413" s="368"/>
      <c r="F413" s="368"/>
    </row>
    <row r="414" spans="5:6">
      <c r="E414" s="368"/>
      <c r="F414" s="368"/>
    </row>
    <row r="415" spans="5:6">
      <c r="E415" s="368"/>
      <c r="F415" s="368"/>
    </row>
    <row r="416" spans="5:6">
      <c r="E416" s="368"/>
      <c r="F416" s="368"/>
    </row>
    <row r="417" spans="5:6">
      <c r="E417" s="368"/>
      <c r="F417" s="368"/>
    </row>
    <row r="418" spans="5:6">
      <c r="E418" s="368"/>
      <c r="F418" s="368"/>
    </row>
    <row r="419" spans="5:6">
      <c r="E419" s="368"/>
      <c r="F419" s="368"/>
    </row>
    <row r="420" spans="5:6">
      <c r="E420" s="368"/>
      <c r="F420" s="368"/>
    </row>
    <row r="421" spans="5:6">
      <c r="E421" s="368"/>
      <c r="F421" s="368"/>
    </row>
    <row r="422" spans="5:6">
      <c r="E422" s="368"/>
      <c r="F422" s="368"/>
    </row>
    <row r="423" spans="5:6">
      <c r="E423" s="368"/>
      <c r="F423" s="368"/>
    </row>
    <row r="424" spans="5:6">
      <c r="E424" s="368"/>
      <c r="F424" s="368"/>
    </row>
    <row r="425" spans="5:6">
      <c r="E425" s="368"/>
      <c r="F425" s="368"/>
    </row>
    <row r="426" spans="5:6">
      <c r="E426" s="368"/>
      <c r="F426" s="368"/>
    </row>
    <row r="427" spans="5:6">
      <c r="E427" s="368"/>
      <c r="F427" s="368"/>
    </row>
    <row r="428" spans="5:6">
      <c r="E428" s="368"/>
      <c r="F428" s="368"/>
    </row>
    <row r="429" spans="5:6">
      <c r="E429" s="368"/>
      <c r="F429" s="368"/>
    </row>
    <row r="430" spans="5:6">
      <c r="E430" s="368"/>
      <c r="F430" s="368"/>
    </row>
    <row r="431" spans="5:6">
      <c r="E431" s="368"/>
      <c r="F431" s="368"/>
    </row>
    <row r="432" spans="5:6">
      <c r="E432" s="368"/>
      <c r="F432" s="368"/>
    </row>
    <row r="433" spans="5:6">
      <c r="E433" s="368"/>
      <c r="F433" s="368"/>
    </row>
    <row r="434" spans="5:6">
      <c r="E434" s="368"/>
      <c r="F434" s="368"/>
    </row>
    <row r="435" spans="5:6">
      <c r="E435" s="368"/>
      <c r="F435" s="368"/>
    </row>
    <row r="436" spans="5:6">
      <c r="E436" s="368"/>
      <c r="F436" s="368"/>
    </row>
    <row r="437" spans="5:6">
      <c r="E437" s="368"/>
      <c r="F437" s="368"/>
    </row>
    <row r="438" spans="5:6">
      <c r="E438" s="368"/>
      <c r="F438" s="368"/>
    </row>
    <row r="439" spans="5:6">
      <c r="E439" s="368"/>
      <c r="F439" s="368"/>
    </row>
    <row r="440" spans="5:6">
      <c r="E440" s="368"/>
      <c r="F440" s="368"/>
    </row>
    <row r="441" spans="5:6">
      <c r="E441" s="368"/>
      <c r="F441" s="368"/>
    </row>
    <row r="442" spans="5:6">
      <c r="E442" s="368"/>
      <c r="F442" s="368"/>
    </row>
    <row r="443" spans="5:6">
      <c r="E443" s="368"/>
      <c r="F443" s="368"/>
    </row>
    <row r="444" spans="5:6">
      <c r="E444" s="368"/>
      <c r="F444" s="368"/>
    </row>
    <row r="445" spans="5:6">
      <c r="E445" s="368"/>
      <c r="F445" s="368"/>
    </row>
    <row r="446" spans="5:6">
      <c r="E446" s="368"/>
      <c r="F446" s="368"/>
    </row>
    <row r="447" spans="5:6">
      <c r="E447" s="368"/>
      <c r="F447" s="368"/>
    </row>
    <row r="448" spans="5:6">
      <c r="E448" s="368"/>
      <c r="F448" s="368"/>
    </row>
    <row r="449" spans="5:6">
      <c r="E449" s="368"/>
      <c r="F449" s="368"/>
    </row>
    <row r="450" spans="5:6">
      <c r="E450" s="368"/>
      <c r="F450" s="368"/>
    </row>
    <row r="451" spans="5:6">
      <c r="E451" s="368"/>
      <c r="F451" s="368"/>
    </row>
    <row r="452" spans="5:6">
      <c r="E452" s="368"/>
      <c r="F452" s="368"/>
    </row>
    <row r="453" spans="5:6">
      <c r="E453" s="368"/>
      <c r="F453" s="368"/>
    </row>
    <row r="454" spans="5:6">
      <c r="E454" s="368"/>
      <c r="F454" s="368"/>
    </row>
    <row r="455" spans="5:6">
      <c r="E455" s="368"/>
      <c r="F455" s="368"/>
    </row>
    <row r="456" spans="5:6">
      <c r="E456" s="368"/>
      <c r="F456" s="368"/>
    </row>
    <row r="457" spans="5:6">
      <c r="E457" s="368"/>
      <c r="F457" s="368"/>
    </row>
    <row r="458" spans="5:6">
      <c r="E458" s="368"/>
      <c r="F458" s="368"/>
    </row>
    <row r="459" spans="5:6">
      <c r="E459" s="368"/>
      <c r="F459" s="368"/>
    </row>
    <row r="460" spans="5:6">
      <c r="E460" s="368"/>
      <c r="F460" s="368"/>
    </row>
    <row r="461" spans="5:6">
      <c r="E461" s="368"/>
      <c r="F461" s="368"/>
    </row>
    <row r="462" spans="5:6">
      <c r="E462" s="368"/>
      <c r="F462" s="368"/>
    </row>
    <row r="463" spans="5:6">
      <c r="E463" s="368"/>
      <c r="F463" s="368"/>
    </row>
    <row r="464" spans="5:6">
      <c r="E464" s="368"/>
      <c r="F464" s="368"/>
    </row>
    <row r="465" spans="5:6">
      <c r="E465" s="368"/>
      <c r="F465" s="368"/>
    </row>
    <row r="466" spans="5:6">
      <c r="E466" s="368"/>
      <c r="F466" s="368"/>
    </row>
    <row r="467" spans="5:6">
      <c r="E467" s="368"/>
      <c r="F467" s="368"/>
    </row>
    <row r="468" spans="5:6">
      <c r="E468" s="368"/>
      <c r="F468" s="368"/>
    </row>
    <row r="469" spans="5:6">
      <c r="E469" s="368"/>
      <c r="F469" s="368"/>
    </row>
    <row r="470" spans="5:6">
      <c r="E470" s="368"/>
      <c r="F470" s="368"/>
    </row>
    <row r="471" spans="5:6">
      <c r="E471" s="368"/>
      <c r="F471" s="368"/>
    </row>
    <row r="472" spans="5:6">
      <c r="E472" s="368"/>
      <c r="F472" s="368"/>
    </row>
    <row r="473" spans="5:6">
      <c r="E473" s="368"/>
      <c r="F473" s="368"/>
    </row>
    <row r="474" spans="5:6">
      <c r="E474" s="368"/>
      <c r="F474" s="368"/>
    </row>
    <row r="475" spans="5:6">
      <c r="E475" s="368"/>
      <c r="F475" s="368"/>
    </row>
    <row r="476" spans="5:6">
      <c r="E476" s="368"/>
      <c r="F476" s="368"/>
    </row>
    <row r="477" spans="5:6">
      <c r="E477" s="368"/>
      <c r="F477" s="368"/>
    </row>
    <row r="478" spans="5:6">
      <c r="E478" s="368"/>
      <c r="F478" s="368"/>
    </row>
    <row r="479" spans="5:6">
      <c r="E479" s="368"/>
      <c r="F479" s="368"/>
    </row>
    <row r="480" spans="5:6">
      <c r="E480" s="368"/>
      <c r="F480" s="368"/>
    </row>
    <row r="481" spans="5:6">
      <c r="E481" s="368"/>
      <c r="F481" s="368"/>
    </row>
    <row r="482" spans="5:6">
      <c r="E482" s="368"/>
      <c r="F482" s="368"/>
    </row>
    <row r="483" spans="5:6">
      <c r="E483" s="368"/>
      <c r="F483" s="368"/>
    </row>
    <row r="484" spans="5:6">
      <c r="E484" s="368"/>
      <c r="F484" s="368"/>
    </row>
    <row r="485" spans="5:6">
      <c r="E485" s="368"/>
      <c r="F485" s="368"/>
    </row>
    <row r="486" spans="5:6">
      <c r="E486" s="368"/>
      <c r="F486" s="368"/>
    </row>
    <row r="487" spans="5:6">
      <c r="E487" s="368"/>
      <c r="F487" s="368"/>
    </row>
    <row r="488" spans="5:6">
      <c r="E488" s="368"/>
      <c r="F488" s="368"/>
    </row>
    <row r="489" spans="5:6">
      <c r="E489" s="368"/>
      <c r="F489" s="368"/>
    </row>
    <row r="490" spans="5:6">
      <c r="E490" s="368"/>
      <c r="F490" s="368"/>
    </row>
    <row r="491" spans="5:6">
      <c r="E491" s="368"/>
      <c r="F491" s="368"/>
    </row>
    <row r="492" spans="5:6">
      <c r="E492" s="368"/>
      <c r="F492" s="368"/>
    </row>
    <row r="493" spans="5:6">
      <c r="E493" s="368"/>
      <c r="F493" s="368"/>
    </row>
    <row r="494" spans="5:6">
      <c r="E494" s="368"/>
      <c r="F494" s="368"/>
    </row>
    <row r="495" spans="5:6">
      <c r="E495" s="368"/>
      <c r="F495" s="368"/>
    </row>
    <row r="496" spans="5:6">
      <c r="E496" s="368"/>
      <c r="F496" s="368"/>
    </row>
    <row r="497" spans="5:6">
      <c r="E497" s="368"/>
      <c r="F497" s="368"/>
    </row>
    <row r="498" spans="5:6">
      <c r="E498" s="368"/>
      <c r="F498" s="368"/>
    </row>
    <row r="499" spans="5:6">
      <c r="E499" s="368"/>
      <c r="F499" s="368"/>
    </row>
    <row r="500" spans="5:6">
      <c r="E500" s="368"/>
      <c r="F500" s="368"/>
    </row>
    <row r="501" spans="5:6">
      <c r="E501" s="368"/>
      <c r="F501" s="368"/>
    </row>
    <row r="502" spans="5:6">
      <c r="E502" s="368"/>
      <c r="F502" s="368"/>
    </row>
    <row r="503" spans="5:6">
      <c r="E503" s="368"/>
      <c r="F503" s="368"/>
    </row>
    <row r="504" spans="5:6">
      <c r="E504" s="368"/>
      <c r="F504" s="368"/>
    </row>
    <row r="505" spans="5:6">
      <c r="E505" s="368"/>
      <c r="F505" s="368"/>
    </row>
    <row r="506" spans="5:6">
      <c r="E506" s="368"/>
      <c r="F506" s="368"/>
    </row>
    <row r="507" spans="5:6">
      <c r="E507" s="368"/>
      <c r="F507" s="368"/>
    </row>
    <row r="508" spans="5:6">
      <c r="E508" s="368"/>
      <c r="F508" s="368"/>
    </row>
    <row r="509" spans="5:6">
      <c r="E509" s="368"/>
      <c r="F509" s="368"/>
    </row>
    <row r="510" spans="5:6">
      <c r="E510" s="368"/>
      <c r="F510" s="368"/>
    </row>
    <row r="511" spans="5:6">
      <c r="E511" s="368"/>
      <c r="F511" s="368"/>
    </row>
    <row r="512" spans="5:6">
      <c r="E512" s="368"/>
      <c r="F512" s="368"/>
    </row>
    <row r="513" spans="5:6">
      <c r="E513" s="368"/>
      <c r="F513" s="368"/>
    </row>
    <row r="514" spans="5:6">
      <c r="E514" s="368"/>
      <c r="F514" s="368"/>
    </row>
    <row r="515" spans="5:6">
      <c r="E515" s="368"/>
      <c r="F515" s="368"/>
    </row>
    <row r="516" spans="5:6">
      <c r="E516" s="368"/>
      <c r="F516" s="368"/>
    </row>
    <row r="517" spans="5:6">
      <c r="E517" s="368"/>
      <c r="F517" s="368"/>
    </row>
    <row r="518" spans="5:6">
      <c r="E518" s="368"/>
      <c r="F518" s="368"/>
    </row>
    <row r="519" spans="5:6">
      <c r="E519" s="368"/>
      <c r="F519" s="368"/>
    </row>
    <row r="520" spans="5:6">
      <c r="E520" s="368"/>
      <c r="F520" s="368"/>
    </row>
    <row r="521" spans="5:6">
      <c r="E521" s="368"/>
      <c r="F521" s="368"/>
    </row>
    <row r="522" spans="5:6">
      <c r="E522" s="368"/>
      <c r="F522" s="368"/>
    </row>
    <row r="523" spans="5:6">
      <c r="E523" s="368"/>
      <c r="F523" s="368"/>
    </row>
    <row r="524" spans="5:6">
      <c r="E524" s="368"/>
      <c r="F524" s="368"/>
    </row>
    <row r="525" spans="5:6">
      <c r="E525" s="368"/>
      <c r="F525" s="368"/>
    </row>
    <row r="526" spans="5:6">
      <c r="E526" s="368"/>
      <c r="F526" s="368"/>
    </row>
    <row r="527" spans="5:6">
      <c r="E527" s="368"/>
      <c r="F527" s="368"/>
    </row>
    <row r="528" spans="5:6">
      <c r="E528" s="368"/>
      <c r="F528" s="368"/>
    </row>
    <row r="529" spans="5:6">
      <c r="E529" s="368"/>
      <c r="F529" s="368"/>
    </row>
    <row r="530" spans="5:6">
      <c r="E530" s="368"/>
      <c r="F530" s="368"/>
    </row>
    <row r="531" spans="5:6">
      <c r="E531" s="368"/>
      <c r="F531" s="368"/>
    </row>
    <row r="532" spans="5:6">
      <c r="E532" s="368"/>
      <c r="F532" s="368"/>
    </row>
    <row r="533" spans="5:6">
      <c r="E533" s="368"/>
      <c r="F533" s="368"/>
    </row>
    <row r="534" spans="5:6">
      <c r="E534" s="368"/>
      <c r="F534" s="368"/>
    </row>
    <row r="535" spans="5:6">
      <c r="E535" s="368"/>
      <c r="F535" s="368"/>
    </row>
    <row r="536" spans="5:6">
      <c r="E536" s="368"/>
      <c r="F536" s="368"/>
    </row>
    <row r="537" spans="5:6">
      <c r="E537" s="368"/>
      <c r="F537" s="368"/>
    </row>
    <row r="538" spans="5:6">
      <c r="E538" s="368"/>
      <c r="F538" s="368"/>
    </row>
    <row r="539" spans="5:6">
      <c r="E539" s="368"/>
      <c r="F539" s="368"/>
    </row>
    <row r="540" spans="5:6">
      <c r="E540" s="368"/>
      <c r="F540" s="368"/>
    </row>
    <row r="541" spans="5:6">
      <c r="E541" s="368"/>
      <c r="F541" s="368"/>
    </row>
    <row r="542" spans="5:6">
      <c r="E542" s="368"/>
      <c r="F542" s="368"/>
    </row>
    <row r="543" spans="5:6">
      <c r="E543" s="368"/>
      <c r="F543" s="368"/>
    </row>
    <row r="544" spans="5:6">
      <c r="E544" s="368"/>
      <c r="F544" s="368"/>
    </row>
    <row r="545" spans="5:6">
      <c r="E545" s="368"/>
      <c r="F545" s="368"/>
    </row>
    <row r="546" spans="5:6">
      <c r="E546" s="368"/>
      <c r="F546" s="368"/>
    </row>
    <row r="547" spans="5:6">
      <c r="E547" s="368"/>
      <c r="F547" s="368"/>
    </row>
    <row r="548" spans="5:6">
      <c r="E548" s="368"/>
      <c r="F548" s="368"/>
    </row>
    <row r="549" spans="5:6">
      <c r="E549" s="368"/>
      <c r="F549" s="368"/>
    </row>
    <row r="550" spans="5:6">
      <c r="E550" s="368"/>
      <c r="F550" s="368"/>
    </row>
    <row r="551" spans="5:6">
      <c r="E551" s="368"/>
      <c r="F551" s="368"/>
    </row>
    <row r="552" spans="5:6">
      <c r="E552" s="368"/>
      <c r="F552" s="368"/>
    </row>
    <row r="553" spans="5:6">
      <c r="E553" s="368"/>
      <c r="F553" s="368"/>
    </row>
    <row r="554" spans="5:6">
      <c r="E554" s="368"/>
      <c r="F554" s="368"/>
    </row>
    <row r="555" spans="5:6">
      <c r="E555" s="368"/>
      <c r="F555" s="368"/>
    </row>
    <row r="556" spans="5:6">
      <c r="E556" s="368"/>
      <c r="F556" s="368"/>
    </row>
    <row r="557" spans="5:6">
      <c r="E557" s="368"/>
      <c r="F557" s="368"/>
    </row>
    <row r="558" spans="5:6">
      <c r="E558" s="368"/>
      <c r="F558" s="368"/>
    </row>
    <row r="559" spans="5:6">
      <c r="E559" s="368"/>
      <c r="F559" s="368"/>
    </row>
    <row r="560" spans="5:6">
      <c r="E560" s="368"/>
      <c r="F560" s="368"/>
    </row>
    <row r="561" spans="5:6">
      <c r="E561" s="368"/>
      <c r="F561" s="368"/>
    </row>
    <row r="562" spans="5:6">
      <c r="E562" s="368"/>
      <c r="F562" s="368"/>
    </row>
    <row r="563" spans="5:6">
      <c r="E563" s="368"/>
      <c r="F563" s="368"/>
    </row>
    <row r="564" spans="5:6">
      <c r="E564" s="368"/>
      <c r="F564" s="368"/>
    </row>
    <row r="565" spans="5:6">
      <c r="E565" s="368"/>
      <c r="F565" s="368"/>
    </row>
    <row r="566" spans="5:6">
      <c r="E566" s="368"/>
      <c r="F566" s="368"/>
    </row>
    <row r="567" spans="5:6">
      <c r="E567" s="368"/>
      <c r="F567" s="368"/>
    </row>
    <row r="568" spans="5:6">
      <c r="E568" s="368"/>
      <c r="F568" s="368"/>
    </row>
    <row r="569" spans="5:6">
      <c r="E569" s="368"/>
      <c r="F569" s="368"/>
    </row>
    <row r="570" spans="5:6">
      <c r="E570" s="368"/>
      <c r="F570" s="368"/>
    </row>
    <row r="571" spans="5:6">
      <c r="E571" s="368"/>
      <c r="F571" s="368"/>
    </row>
    <row r="572" spans="5:6">
      <c r="E572" s="368"/>
      <c r="F572" s="368"/>
    </row>
    <row r="573" spans="5:6">
      <c r="E573" s="368"/>
      <c r="F573" s="368"/>
    </row>
    <row r="574" spans="5:6">
      <c r="E574" s="368"/>
      <c r="F574" s="368"/>
    </row>
    <row r="575" spans="5:6">
      <c r="E575" s="368"/>
      <c r="F575" s="368"/>
    </row>
    <row r="576" spans="5:6">
      <c r="E576" s="368"/>
      <c r="F576" s="368"/>
    </row>
    <row r="577" spans="5:6">
      <c r="E577" s="368"/>
      <c r="F577" s="368"/>
    </row>
    <row r="578" spans="5:6">
      <c r="E578" s="368"/>
      <c r="F578" s="368"/>
    </row>
    <row r="579" spans="5:6">
      <c r="E579" s="368"/>
      <c r="F579" s="368"/>
    </row>
    <row r="580" spans="5:6">
      <c r="E580" s="368"/>
      <c r="F580" s="368"/>
    </row>
    <row r="581" spans="5:6">
      <c r="E581" s="368"/>
      <c r="F581" s="368"/>
    </row>
    <row r="582" spans="5:6">
      <c r="E582" s="368"/>
      <c r="F582" s="368"/>
    </row>
    <row r="583" spans="5:6">
      <c r="E583" s="368"/>
      <c r="F583" s="368"/>
    </row>
    <row r="584" spans="5:6">
      <c r="E584" s="368"/>
      <c r="F584" s="368"/>
    </row>
    <row r="585" spans="5:6">
      <c r="E585" s="368"/>
      <c r="F585" s="368"/>
    </row>
    <row r="586" spans="5:6">
      <c r="E586" s="368"/>
      <c r="F586" s="368"/>
    </row>
    <row r="587" spans="5:6">
      <c r="E587" s="368"/>
      <c r="F587" s="368"/>
    </row>
    <row r="588" spans="5:6">
      <c r="E588" s="368"/>
      <c r="F588" s="368"/>
    </row>
    <row r="589" spans="5:6">
      <c r="E589" s="368"/>
      <c r="F589" s="368"/>
    </row>
    <row r="590" spans="5:6">
      <c r="E590" s="368"/>
      <c r="F590" s="368"/>
    </row>
    <row r="591" spans="5:6">
      <c r="E591" s="368"/>
      <c r="F591" s="368"/>
    </row>
    <row r="592" spans="5:6">
      <c r="E592" s="368"/>
      <c r="F592" s="368"/>
    </row>
    <row r="593" spans="5:6">
      <c r="E593" s="368"/>
      <c r="F593" s="368"/>
    </row>
    <row r="594" spans="5:6">
      <c r="E594" s="368"/>
      <c r="F594" s="368"/>
    </row>
    <row r="595" spans="5:6">
      <c r="E595" s="368"/>
      <c r="F595" s="368"/>
    </row>
    <row r="596" spans="5:6">
      <c r="E596" s="368"/>
      <c r="F596" s="368"/>
    </row>
    <row r="597" spans="5:6">
      <c r="E597" s="368"/>
      <c r="F597" s="368"/>
    </row>
    <row r="598" spans="5:6">
      <c r="E598" s="368"/>
      <c r="F598" s="368"/>
    </row>
    <row r="599" spans="5:6">
      <c r="E599" s="368"/>
      <c r="F599" s="368"/>
    </row>
    <row r="600" spans="5:6">
      <c r="E600" s="368"/>
      <c r="F600" s="368"/>
    </row>
    <row r="601" spans="5:6">
      <c r="E601" s="368"/>
      <c r="F601" s="368"/>
    </row>
    <row r="602" spans="5:6">
      <c r="E602" s="368"/>
      <c r="F602" s="368"/>
    </row>
    <row r="603" spans="5:6">
      <c r="E603" s="368"/>
      <c r="F603" s="368"/>
    </row>
    <row r="604" spans="5:6">
      <c r="E604" s="368"/>
      <c r="F604" s="368"/>
    </row>
    <row r="605" spans="5:6">
      <c r="E605" s="368"/>
      <c r="F605" s="368"/>
    </row>
    <row r="606" spans="5:6">
      <c r="E606" s="368"/>
      <c r="F606" s="368"/>
    </row>
    <row r="607" spans="5:6">
      <c r="E607" s="368"/>
      <c r="F607" s="368"/>
    </row>
    <row r="608" spans="5:6">
      <c r="E608" s="368"/>
      <c r="F608" s="368"/>
    </row>
    <row r="609" spans="5:6">
      <c r="E609" s="368"/>
      <c r="F609" s="368"/>
    </row>
    <row r="610" spans="5:6">
      <c r="E610" s="368"/>
      <c r="F610" s="368"/>
    </row>
    <row r="611" spans="5:6">
      <c r="E611" s="368"/>
      <c r="F611" s="368"/>
    </row>
    <row r="612" spans="5:6">
      <c r="E612" s="368"/>
      <c r="F612" s="368"/>
    </row>
    <row r="613" spans="5:6">
      <c r="E613" s="368"/>
      <c r="F613" s="368"/>
    </row>
    <row r="614" spans="5:6">
      <c r="E614" s="368"/>
      <c r="F614" s="368"/>
    </row>
    <row r="615" spans="5:6">
      <c r="E615" s="368"/>
      <c r="F615" s="368"/>
    </row>
    <row r="616" spans="5:6">
      <c r="E616" s="368"/>
      <c r="F616" s="368"/>
    </row>
    <row r="617" spans="5:6">
      <c r="E617" s="368"/>
      <c r="F617" s="368"/>
    </row>
    <row r="618" spans="5:6">
      <c r="E618" s="368"/>
      <c r="F618" s="368"/>
    </row>
    <row r="619" spans="5:6">
      <c r="E619" s="368"/>
      <c r="F619" s="368"/>
    </row>
    <row r="620" spans="5:6">
      <c r="E620" s="368"/>
      <c r="F620" s="368"/>
    </row>
    <row r="621" spans="5:6">
      <c r="E621" s="368"/>
      <c r="F621" s="368"/>
    </row>
    <row r="622" spans="5:6">
      <c r="E622" s="368"/>
      <c r="F622" s="368"/>
    </row>
    <row r="623" spans="5:6">
      <c r="E623" s="368"/>
      <c r="F623" s="368"/>
    </row>
    <row r="624" spans="5:6">
      <c r="E624" s="368"/>
      <c r="F624" s="368"/>
    </row>
    <row r="625" spans="5:6">
      <c r="E625" s="368"/>
      <c r="F625" s="368"/>
    </row>
    <row r="626" spans="5:6">
      <c r="E626" s="368"/>
      <c r="F626" s="368"/>
    </row>
    <row r="627" spans="5:6">
      <c r="E627" s="368"/>
      <c r="F627" s="368"/>
    </row>
    <row r="628" spans="5:6">
      <c r="E628" s="368"/>
      <c r="F628" s="368"/>
    </row>
    <row r="629" spans="5:6">
      <c r="E629" s="368"/>
      <c r="F629" s="368"/>
    </row>
    <row r="630" spans="5:6">
      <c r="E630" s="368"/>
      <c r="F630" s="368"/>
    </row>
    <row r="631" spans="5:6">
      <c r="E631" s="368"/>
      <c r="F631" s="368"/>
    </row>
    <row r="632" spans="5:6">
      <c r="E632" s="368"/>
      <c r="F632" s="368"/>
    </row>
    <row r="633" spans="5:6">
      <c r="E633" s="368"/>
      <c r="F633" s="368"/>
    </row>
    <row r="634" spans="5:6">
      <c r="E634" s="368"/>
      <c r="F634" s="368"/>
    </row>
    <row r="635" spans="5:6">
      <c r="E635" s="368"/>
      <c r="F635" s="368"/>
    </row>
    <row r="636" spans="5:6">
      <c r="E636" s="368"/>
      <c r="F636" s="368"/>
    </row>
    <row r="637" spans="5:6">
      <c r="E637" s="368"/>
      <c r="F637" s="368"/>
    </row>
    <row r="638" spans="5:6">
      <c r="E638" s="368"/>
      <c r="F638" s="368"/>
    </row>
    <row r="639" spans="5:6">
      <c r="E639" s="368"/>
      <c r="F639" s="368"/>
    </row>
    <row r="640" spans="5:6">
      <c r="E640" s="368"/>
      <c r="F640" s="368"/>
    </row>
    <row r="641" spans="5:6">
      <c r="E641" s="368"/>
      <c r="F641" s="368"/>
    </row>
    <row r="642" spans="5:6">
      <c r="E642" s="368"/>
      <c r="F642" s="368"/>
    </row>
    <row r="643" spans="5:6">
      <c r="E643" s="368"/>
      <c r="F643" s="368"/>
    </row>
    <row r="644" spans="5:6">
      <c r="E644" s="368"/>
      <c r="F644" s="368"/>
    </row>
    <row r="645" spans="5:6">
      <c r="E645" s="368"/>
      <c r="F645" s="368"/>
    </row>
    <row r="646" spans="5:6">
      <c r="E646" s="368"/>
      <c r="F646" s="368"/>
    </row>
    <row r="647" spans="5:6">
      <c r="E647" s="368"/>
      <c r="F647" s="368"/>
    </row>
    <row r="648" spans="5:6">
      <c r="E648" s="368"/>
      <c r="F648" s="368"/>
    </row>
    <row r="649" spans="5:6">
      <c r="E649" s="368"/>
      <c r="F649" s="368"/>
    </row>
    <row r="650" spans="5:6">
      <c r="E650" s="368"/>
      <c r="F650" s="368"/>
    </row>
    <row r="651" spans="5:6">
      <c r="E651" s="368"/>
      <c r="F651" s="368"/>
    </row>
    <row r="652" spans="5:6">
      <c r="E652" s="368"/>
      <c r="F652" s="368"/>
    </row>
    <row r="653" spans="5:6">
      <c r="E653" s="368"/>
      <c r="F653" s="368"/>
    </row>
    <row r="654" spans="5:6">
      <c r="E654" s="368"/>
      <c r="F654" s="368"/>
    </row>
    <row r="655" spans="5:6">
      <c r="E655" s="368"/>
      <c r="F655" s="368"/>
    </row>
    <row r="656" spans="5:6">
      <c r="E656" s="368"/>
      <c r="F656" s="368"/>
    </row>
    <row r="657" spans="5:6">
      <c r="E657" s="368"/>
      <c r="F657" s="368"/>
    </row>
    <row r="658" spans="5:6">
      <c r="E658" s="368"/>
      <c r="F658" s="368"/>
    </row>
    <row r="659" spans="5:6">
      <c r="E659" s="368"/>
      <c r="F659" s="368"/>
    </row>
    <row r="660" spans="5:6">
      <c r="E660" s="368"/>
      <c r="F660" s="368"/>
    </row>
    <row r="661" spans="5:6">
      <c r="E661" s="368"/>
      <c r="F661" s="368"/>
    </row>
    <row r="662" spans="5:6">
      <c r="E662" s="368"/>
      <c r="F662" s="368"/>
    </row>
    <row r="663" spans="5:6">
      <c r="E663" s="368"/>
      <c r="F663" s="368"/>
    </row>
    <row r="664" spans="5:6">
      <c r="E664" s="368"/>
      <c r="F664" s="368"/>
    </row>
    <row r="665" spans="5:6">
      <c r="E665" s="368"/>
      <c r="F665" s="368"/>
    </row>
    <row r="666" spans="5:6">
      <c r="E666" s="368"/>
      <c r="F666" s="368"/>
    </row>
    <row r="667" spans="5:6">
      <c r="E667" s="368"/>
      <c r="F667" s="368"/>
    </row>
    <row r="668" spans="5:6">
      <c r="E668" s="368"/>
      <c r="F668" s="368"/>
    </row>
    <row r="669" spans="5:6">
      <c r="E669" s="368"/>
      <c r="F669" s="368"/>
    </row>
    <row r="670" spans="5:6">
      <c r="E670" s="368"/>
      <c r="F670" s="368"/>
    </row>
    <row r="671" spans="5:6">
      <c r="E671" s="368"/>
      <c r="F671" s="368"/>
    </row>
    <row r="672" spans="5:6">
      <c r="E672" s="368"/>
      <c r="F672" s="368"/>
    </row>
    <row r="673" spans="5:6">
      <c r="E673" s="368"/>
      <c r="F673" s="368"/>
    </row>
    <row r="674" spans="5:6">
      <c r="E674" s="368"/>
      <c r="F674" s="368"/>
    </row>
    <row r="675" spans="5:6">
      <c r="E675" s="368"/>
      <c r="F675" s="368"/>
    </row>
    <row r="676" spans="5:6">
      <c r="E676" s="368"/>
      <c r="F676" s="368"/>
    </row>
    <row r="677" spans="5:6">
      <c r="E677" s="368"/>
      <c r="F677" s="368"/>
    </row>
    <row r="678" spans="5:6">
      <c r="E678" s="368"/>
      <c r="F678" s="368"/>
    </row>
    <row r="679" spans="5:6">
      <c r="E679" s="368"/>
      <c r="F679" s="368"/>
    </row>
    <row r="680" spans="5:6">
      <c r="E680" s="368"/>
      <c r="F680" s="368"/>
    </row>
    <row r="681" spans="5:6">
      <c r="E681" s="368"/>
      <c r="F681" s="368"/>
    </row>
    <row r="682" spans="5:6">
      <c r="E682" s="368"/>
      <c r="F682" s="368"/>
    </row>
    <row r="683" spans="5:6">
      <c r="E683" s="368"/>
      <c r="F683" s="368"/>
    </row>
    <row r="684" spans="5:6">
      <c r="E684" s="368"/>
      <c r="F684" s="368"/>
    </row>
    <row r="685" spans="5:6">
      <c r="E685" s="368"/>
      <c r="F685" s="368"/>
    </row>
    <row r="686" spans="5:6">
      <c r="E686" s="368"/>
      <c r="F686" s="368"/>
    </row>
    <row r="687" spans="5:6">
      <c r="E687" s="368"/>
      <c r="F687" s="368"/>
    </row>
    <row r="688" spans="5:6">
      <c r="E688" s="368"/>
      <c r="F688" s="368"/>
    </row>
    <row r="689" spans="5:6">
      <c r="E689" s="368"/>
      <c r="F689" s="368"/>
    </row>
    <row r="690" spans="5:6">
      <c r="E690" s="368"/>
      <c r="F690" s="368"/>
    </row>
    <row r="691" spans="5:6">
      <c r="E691" s="368"/>
      <c r="F691" s="368"/>
    </row>
    <row r="692" spans="5:6">
      <c r="E692" s="368"/>
      <c r="F692" s="368"/>
    </row>
    <row r="693" spans="5:6">
      <c r="E693" s="368"/>
      <c r="F693" s="368"/>
    </row>
    <row r="694" spans="5:6">
      <c r="E694" s="368"/>
      <c r="F694" s="368"/>
    </row>
    <row r="695" spans="5:6">
      <c r="E695" s="368"/>
      <c r="F695" s="368"/>
    </row>
    <row r="696" spans="5:6">
      <c r="E696" s="368"/>
      <c r="F696" s="368"/>
    </row>
    <row r="697" spans="5:6">
      <c r="E697" s="368"/>
      <c r="F697" s="368"/>
    </row>
    <row r="698" spans="5:6">
      <c r="E698" s="368"/>
      <c r="F698" s="368"/>
    </row>
    <row r="699" spans="5:6">
      <c r="E699" s="368"/>
      <c r="F699" s="368"/>
    </row>
    <row r="700" spans="5:6">
      <c r="E700" s="368"/>
      <c r="F700" s="368"/>
    </row>
    <row r="701" spans="5:6">
      <c r="E701" s="368"/>
      <c r="F701" s="368"/>
    </row>
    <row r="702" spans="5:6">
      <c r="E702" s="368"/>
      <c r="F702" s="368"/>
    </row>
    <row r="703" spans="5:6">
      <c r="E703" s="368"/>
      <c r="F703" s="368"/>
    </row>
    <row r="704" spans="5:6">
      <c r="E704" s="368"/>
      <c r="F704" s="368"/>
    </row>
    <row r="705" spans="5:6">
      <c r="E705" s="368"/>
      <c r="F705" s="368"/>
    </row>
    <row r="706" spans="5:6">
      <c r="E706" s="368"/>
      <c r="F706" s="368"/>
    </row>
    <row r="707" spans="5:6">
      <c r="E707" s="368"/>
      <c r="F707" s="368"/>
    </row>
    <row r="708" spans="5:6">
      <c r="E708" s="368"/>
      <c r="F708" s="368"/>
    </row>
    <row r="709" spans="5:6">
      <c r="E709" s="368"/>
      <c r="F709" s="368"/>
    </row>
    <row r="710" spans="5:6">
      <c r="E710" s="368"/>
      <c r="F710" s="368"/>
    </row>
    <row r="711" spans="5:6">
      <c r="E711" s="368"/>
      <c r="F711" s="368"/>
    </row>
    <row r="712" spans="5:6">
      <c r="E712" s="368"/>
      <c r="F712" s="368"/>
    </row>
    <row r="713" spans="5:6">
      <c r="E713" s="368"/>
      <c r="F713" s="368"/>
    </row>
    <row r="714" spans="5:6">
      <c r="E714" s="368"/>
      <c r="F714" s="368"/>
    </row>
    <row r="715" spans="5:6">
      <c r="E715" s="368"/>
      <c r="F715" s="368"/>
    </row>
    <row r="716" spans="5:6">
      <c r="E716" s="368"/>
      <c r="F716" s="368"/>
    </row>
    <row r="717" spans="5:6">
      <c r="E717" s="368"/>
      <c r="F717" s="368"/>
    </row>
    <row r="718" spans="5:6">
      <c r="E718" s="368"/>
      <c r="F718" s="368"/>
    </row>
    <row r="719" spans="5:6">
      <c r="E719" s="368"/>
      <c r="F719" s="368"/>
    </row>
    <row r="720" spans="5:6">
      <c r="E720" s="368"/>
      <c r="F720" s="368"/>
    </row>
    <row r="721" spans="5:6">
      <c r="E721" s="368"/>
      <c r="F721" s="368"/>
    </row>
    <row r="722" spans="5:6">
      <c r="E722" s="368"/>
      <c r="F722" s="368"/>
    </row>
    <row r="723" spans="5:6">
      <c r="E723" s="368"/>
      <c r="F723" s="368"/>
    </row>
    <row r="724" spans="5:6">
      <c r="E724" s="368"/>
      <c r="F724" s="368"/>
    </row>
    <row r="725" spans="5:6">
      <c r="E725" s="368"/>
      <c r="F725" s="368"/>
    </row>
    <row r="726" spans="5:6">
      <c r="E726" s="368"/>
      <c r="F726" s="368"/>
    </row>
    <row r="727" spans="5:6">
      <c r="E727" s="368"/>
      <c r="F727" s="368"/>
    </row>
    <row r="728" spans="5:6">
      <c r="E728" s="368"/>
      <c r="F728" s="368"/>
    </row>
    <row r="729" spans="5:6">
      <c r="E729" s="368"/>
      <c r="F729" s="368"/>
    </row>
    <row r="730" spans="5:6">
      <c r="E730" s="368"/>
      <c r="F730" s="368"/>
    </row>
    <row r="731" spans="5:6">
      <c r="E731" s="368"/>
      <c r="F731" s="368"/>
    </row>
    <row r="732" spans="5:6">
      <c r="E732" s="368"/>
      <c r="F732" s="368"/>
    </row>
    <row r="733" spans="5:6">
      <c r="E733" s="368"/>
      <c r="F733" s="368"/>
    </row>
    <row r="734" spans="5:6">
      <c r="E734" s="368"/>
      <c r="F734" s="368"/>
    </row>
    <row r="735" spans="5:6">
      <c r="E735" s="368"/>
      <c r="F735" s="368"/>
    </row>
    <row r="736" spans="5:6">
      <c r="E736" s="368"/>
      <c r="F736" s="368"/>
    </row>
    <row r="737" spans="5:6">
      <c r="E737" s="368"/>
      <c r="F737" s="368"/>
    </row>
    <row r="738" spans="5:6">
      <c r="E738" s="368"/>
      <c r="F738" s="368"/>
    </row>
    <row r="739" spans="5:6">
      <c r="E739" s="368"/>
      <c r="F739" s="368"/>
    </row>
    <row r="740" spans="5:6">
      <c r="E740" s="368"/>
      <c r="F740" s="368"/>
    </row>
    <row r="741" spans="5:6">
      <c r="E741" s="368"/>
      <c r="F741" s="368"/>
    </row>
    <row r="742" spans="5:6">
      <c r="E742" s="368"/>
      <c r="F742" s="368"/>
    </row>
    <row r="743" spans="5:6">
      <c r="E743" s="368"/>
      <c r="F743" s="368"/>
    </row>
    <row r="744" spans="5:6">
      <c r="E744" s="368"/>
      <c r="F744" s="368"/>
    </row>
    <row r="745" spans="5:6">
      <c r="E745" s="368"/>
      <c r="F745" s="368"/>
    </row>
    <row r="746" spans="5:6">
      <c r="E746" s="368"/>
      <c r="F746" s="368"/>
    </row>
    <row r="747" spans="5:6">
      <c r="E747" s="368"/>
      <c r="F747" s="368"/>
    </row>
    <row r="748" spans="5:6">
      <c r="E748" s="368"/>
      <c r="F748" s="368"/>
    </row>
    <row r="749" spans="5:6">
      <c r="E749" s="368"/>
      <c r="F749" s="368"/>
    </row>
    <row r="750" spans="5:6">
      <c r="E750" s="368"/>
      <c r="F750" s="368"/>
    </row>
    <row r="751" spans="5:6">
      <c r="E751" s="368"/>
      <c r="F751" s="368"/>
    </row>
    <row r="752" spans="5:6">
      <c r="E752" s="368"/>
      <c r="F752" s="368"/>
    </row>
    <row r="753" spans="5:6">
      <c r="E753" s="368"/>
      <c r="F753" s="368"/>
    </row>
    <row r="754" spans="5:6">
      <c r="E754" s="368"/>
      <c r="F754" s="368"/>
    </row>
    <row r="755" spans="5:6">
      <c r="E755" s="368"/>
      <c r="F755" s="368"/>
    </row>
    <row r="756" spans="5:6">
      <c r="E756" s="368"/>
      <c r="F756" s="368"/>
    </row>
    <row r="757" spans="5:6">
      <c r="E757" s="368"/>
      <c r="F757" s="368"/>
    </row>
    <row r="758" spans="5:6">
      <c r="E758" s="368"/>
      <c r="F758" s="368"/>
    </row>
    <row r="759" spans="5:6">
      <c r="E759" s="368"/>
      <c r="F759" s="368"/>
    </row>
    <row r="760" spans="5:6">
      <c r="E760" s="368"/>
      <c r="F760" s="368"/>
    </row>
    <row r="761" spans="5:6">
      <c r="E761" s="368"/>
      <c r="F761" s="368"/>
    </row>
    <row r="762" spans="5:6">
      <c r="E762" s="368"/>
      <c r="F762" s="368"/>
    </row>
    <row r="763" spans="5:6">
      <c r="E763" s="368"/>
      <c r="F763" s="368"/>
    </row>
    <row r="764" spans="5:6">
      <c r="E764" s="368"/>
      <c r="F764" s="368"/>
    </row>
    <row r="765" spans="5:6">
      <c r="E765" s="368"/>
      <c r="F765" s="368"/>
    </row>
    <row r="766" spans="5:6">
      <c r="E766" s="368"/>
      <c r="F766" s="368"/>
    </row>
    <row r="767" spans="5:6">
      <c r="E767" s="368"/>
      <c r="F767" s="368"/>
    </row>
    <row r="768" spans="5:6">
      <c r="E768" s="368"/>
      <c r="F768" s="368"/>
    </row>
    <row r="769" spans="5:6">
      <c r="E769" s="368"/>
      <c r="F769" s="368"/>
    </row>
    <row r="770" spans="5:6">
      <c r="E770" s="368"/>
      <c r="F770" s="368"/>
    </row>
    <row r="771" spans="5:6">
      <c r="E771" s="368"/>
      <c r="F771" s="368"/>
    </row>
    <row r="772" spans="5:6">
      <c r="E772" s="368"/>
      <c r="F772" s="368"/>
    </row>
    <row r="773" spans="5:6">
      <c r="E773" s="368"/>
      <c r="F773" s="368"/>
    </row>
    <row r="774" spans="5:6">
      <c r="E774" s="368"/>
      <c r="F774" s="368"/>
    </row>
    <row r="775" spans="5:6">
      <c r="E775" s="368"/>
      <c r="F775" s="368"/>
    </row>
    <row r="776" spans="5:6">
      <c r="E776" s="368"/>
      <c r="F776" s="368"/>
    </row>
    <row r="777" spans="5:6">
      <c r="E777" s="368"/>
      <c r="F777" s="368"/>
    </row>
    <row r="778" spans="5:6">
      <c r="E778" s="368"/>
      <c r="F778" s="368"/>
    </row>
    <row r="779" spans="5:6">
      <c r="E779" s="368"/>
      <c r="F779" s="368"/>
    </row>
    <row r="780" spans="5:6">
      <c r="E780" s="368"/>
      <c r="F780" s="368"/>
    </row>
    <row r="781" spans="5:6">
      <c r="E781" s="368"/>
      <c r="F781" s="368"/>
    </row>
    <row r="782" spans="5:6">
      <c r="E782" s="368"/>
      <c r="F782" s="368"/>
    </row>
    <row r="783" spans="5:6">
      <c r="E783" s="368"/>
      <c r="F783" s="368"/>
    </row>
    <row r="784" spans="5:6">
      <c r="E784" s="368"/>
      <c r="F784" s="368"/>
    </row>
    <row r="785" spans="5:6">
      <c r="E785" s="368"/>
      <c r="F785" s="368"/>
    </row>
    <row r="786" spans="5:6">
      <c r="E786" s="368"/>
      <c r="F786" s="368"/>
    </row>
    <row r="787" spans="5:6">
      <c r="E787" s="368"/>
      <c r="F787" s="368"/>
    </row>
    <row r="788" spans="5:6">
      <c r="E788" s="368"/>
      <c r="F788" s="368"/>
    </row>
    <row r="789" spans="5:6">
      <c r="E789" s="368"/>
      <c r="F789" s="368"/>
    </row>
    <row r="790" spans="5:6">
      <c r="E790" s="368"/>
      <c r="F790" s="368"/>
    </row>
    <row r="791" spans="5:6">
      <c r="E791" s="368"/>
      <c r="F791" s="368"/>
    </row>
    <row r="792" spans="5:6">
      <c r="E792" s="368"/>
      <c r="F792" s="368"/>
    </row>
    <row r="793" spans="5:6">
      <c r="E793" s="368"/>
      <c r="F793" s="368"/>
    </row>
    <row r="794" spans="5:6">
      <c r="E794" s="368"/>
      <c r="F794" s="368"/>
    </row>
    <row r="795" spans="5:6">
      <c r="E795" s="368"/>
      <c r="F795" s="368"/>
    </row>
    <row r="796" spans="5:6">
      <c r="E796" s="368"/>
      <c r="F796" s="368"/>
    </row>
    <row r="797" spans="5:6">
      <c r="E797" s="368"/>
      <c r="F797" s="368"/>
    </row>
    <row r="798" spans="5:6">
      <c r="E798" s="368"/>
      <c r="F798" s="368"/>
    </row>
    <row r="799" spans="5:6">
      <c r="E799" s="368"/>
      <c r="F799" s="368"/>
    </row>
    <row r="800" spans="5:6">
      <c r="E800" s="368"/>
      <c r="F800" s="368"/>
    </row>
    <row r="801" spans="5:6">
      <c r="E801" s="368"/>
      <c r="F801" s="368"/>
    </row>
    <row r="802" spans="5:6">
      <c r="E802" s="368"/>
      <c r="F802" s="368"/>
    </row>
    <row r="803" spans="5:6">
      <c r="E803" s="368"/>
      <c r="F803" s="368"/>
    </row>
    <row r="804" spans="5:6">
      <c r="E804" s="368"/>
      <c r="F804" s="368"/>
    </row>
    <row r="805" spans="5:6">
      <c r="E805" s="368"/>
      <c r="F805" s="368"/>
    </row>
    <row r="806" spans="5:6">
      <c r="E806" s="368"/>
      <c r="F806" s="368"/>
    </row>
    <row r="807" spans="5:6">
      <c r="E807" s="368"/>
      <c r="F807" s="368"/>
    </row>
    <row r="808" spans="5:6">
      <c r="E808" s="368"/>
      <c r="F808" s="368"/>
    </row>
    <row r="809" spans="5:6">
      <c r="E809" s="368"/>
      <c r="F809" s="368"/>
    </row>
    <row r="810" spans="5:6">
      <c r="E810" s="368"/>
      <c r="F810" s="368"/>
    </row>
    <row r="811" spans="5:6">
      <c r="E811" s="368"/>
      <c r="F811" s="368"/>
    </row>
    <row r="812" spans="5:6">
      <c r="E812" s="368"/>
      <c r="F812" s="368"/>
    </row>
    <row r="813" spans="5:6">
      <c r="E813" s="368"/>
      <c r="F813" s="368"/>
    </row>
    <row r="814" spans="5:6">
      <c r="E814" s="368"/>
      <c r="F814" s="368"/>
    </row>
    <row r="815" spans="5:6">
      <c r="E815" s="368"/>
      <c r="F815" s="368"/>
    </row>
    <row r="816" spans="5:6">
      <c r="E816" s="368"/>
      <c r="F816" s="368"/>
    </row>
    <row r="817" spans="5:6">
      <c r="E817" s="368"/>
      <c r="F817" s="368"/>
    </row>
    <row r="818" spans="5:6">
      <c r="E818" s="368"/>
      <c r="F818" s="368"/>
    </row>
    <row r="819" spans="5:6">
      <c r="E819" s="368"/>
      <c r="F819" s="368"/>
    </row>
    <row r="820" spans="5:6">
      <c r="E820" s="368"/>
      <c r="F820" s="368"/>
    </row>
    <row r="821" spans="5:6">
      <c r="E821" s="368"/>
      <c r="F821" s="368"/>
    </row>
    <row r="822" spans="5:6">
      <c r="E822" s="368"/>
      <c r="F822" s="368"/>
    </row>
    <row r="823" spans="5:6">
      <c r="E823" s="368"/>
      <c r="F823" s="368"/>
    </row>
    <row r="824" spans="5:6">
      <c r="E824" s="368"/>
      <c r="F824" s="368"/>
    </row>
    <row r="825" spans="5:6">
      <c r="E825" s="368"/>
      <c r="F825" s="368"/>
    </row>
    <row r="826" spans="5:6">
      <c r="E826" s="368"/>
      <c r="F826" s="368"/>
    </row>
    <row r="827" spans="5:6">
      <c r="E827" s="368"/>
      <c r="F827" s="368"/>
    </row>
    <row r="828" spans="5:6">
      <c r="E828" s="368"/>
      <c r="F828" s="368"/>
    </row>
    <row r="829" spans="5:6">
      <c r="E829" s="368"/>
      <c r="F829" s="368"/>
    </row>
    <row r="830" spans="5:6">
      <c r="E830" s="368"/>
      <c r="F830" s="368"/>
    </row>
    <row r="831" spans="5:6">
      <c r="E831" s="368"/>
      <c r="F831" s="368"/>
    </row>
    <row r="832" spans="5:6">
      <c r="E832" s="368"/>
      <c r="F832" s="368"/>
    </row>
    <row r="833" spans="5:6">
      <c r="E833" s="368"/>
      <c r="F833" s="368"/>
    </row>
    <row r="834" spans="5:6">
      <c r="E834" s="368"/>
      <c r="F834" s="368"/>
    </row>
    <row r="835" spans="5:6">
      <c r="E835" s="368"/>
      <c r="F835" s="368"/>
    </row>
    <row r="836" spans="5:6">
      <c r="E836" s="368"/>
      <c r="F836" s="368"/>
    </row>
    <row r="837" spans="5:6">
      <c r="E837" s="368"/>
      <c r="F837" s="368"/>
    </row>
    <row r="838" spans="5:6">
      <c r="E838" s="368"/>
      <c r="F838" s="368"/>
    </row>
    <row r="839" spans="5:6">
      <c r="E839" s="368"/>
      <c r="F839" s="368"/>
    </row>
    <row r="840" spans="5:6">
      <c r="E840" s="368"/>
      <c r="F840" s="368"/>
    </row>
    <row r="841" spans="5:6">
      <c r="E841" s="368"/>
      <c r="F841" s="368"/>
    </row>
    <row r="842" spans="5:6">
      <c r="E842" s="368"/>
      <c r="F842" s="368"/>
    </row>
    <row r="843" spans="5:6">
      <c r="E843" s="368"/>
      <c r="F843" s="368"/>
    </row>
    <row r="844" spans="5:6">
      <c r="E844" s="368"/>
      <c r="F844" s="368"/>
    </row>
    <row r="845" spans="5:6">
      <c r="E845" s="368"/>
      <c r="F845" s="368"/>
    </row>
    <row r="846" spans="5:6">
      <c r="E846" s="368"/>
      <c r="F846" s="368"/>
    </row>
    <row r="847" spans="5:6">
      <c r="E847" s="368"/>
      <c r="F847" s="368"/>
    </row>
    <row r="848" spans="5:6">
      <c r="E848" s="368"/>
      <c r="F848" s="368"/>
    </row>
    <row r="849" spans="5:6">
      <c r="E849" s="368"/>
      <c r="F849" s="368"/>
    </row>
    <row r="850" spans="5:6">
      <c r="E850" s="368"/>
      <c r="F850" s="368"/>
    </row>
    <row r="851" spans="5:6">
      <c r="E851" s="368"/>
      <c r="F851" s="368"/>
    </row>
    <row r="852" spans="5:6">
      <c r="E852" s="368"/>
      <c r="F852" s="368"/>
    </row>
    <row r="853" spans="5:6">
      <c r="E853" s="368"/>
      <c r="F853" s="368"/>
    </row>
    <row r="854" spans="5:6">
      <c r="E854" s="368"/>
      <c r="F854" s="368"/>
    </row>
    <row r="855" spans="5:6">
      <c r="E855" s="368"/>
      <c r="F855" s="368"/>
    </row>
    <row r="856" spans="5:6">
      <c r="E856" s="368"/>
      <c r="F856" s="368"/>
    </row>
    <row r="857" spans="5:6">
      <c r="E857" s="368"/>
      <c r="F857" s="368"/>
    </row>
    <row r="858" spans="5:6">
      <c r="E858" s="368"/>
      <c r="F858" s="368"/>
    </row>
    <row r="859" spans="5:6">
      <c r="E859" s="368"/>
      <c r="F859" s="368"/>
    </row>
    <row r="860" spans="5:6">
      <c r="E860" s="368"/>
      <c r="F860" s="368"/>
    </row>
    <row r="861" spans="5:6">
      <c r="E861" s="368"/>
      <c r="F861" s="368"/>
    </row>
    <row r="862" spans="5:6">
      <c r="E862" s="368"/>
      <c r="F862" s="368"/>
    </row>
    <row r="863" spans="5:6">
      <c r="E863" s="368"/>
      <c r="F863" s="368"/>
    </row>
    <row r="864" spans="5:6">
      <c r="E864" s="368"/>
      <c r="F864" s="368"/>
    </row>
    <row r="865" spans="5:6">
      <c r="E865" s="368"/>
      <c r="F865" s="368"/>
    </row>
    <row r="866" spans="5:6">
      <c r="E866" s="368"/>
      <c r="F866" s="368"/>
    </row>
    <row r="867" spans="5:6">
      <c r="E867" s="368"/>
      <c r="F867" s="368"/>
    </row>
    <row r="868" spans="5:6">
      <c r="E868" s="368"/>
      <c r="F868" s="368"/>
    </row>
    <row r="869" spans="5:6">
      <c r="E869" s="368"/>
      <c r="F869" s="368"/>
    </row>
    <row r="870" spans="5:6">
      <c r="E870" s="368"/>
      <c r="F870" s="368"/>
    </row>
    <row r="871" spans="5:6">
      <c r="E871" s="368"/>
      <c r="F871" s="368"/>
    </row>
    <row r="872" spans="5:6">
      <c r="E872" s="368"/>
      <c r="F872" s="368"/>
    </row>
    <row r="873" spans="5:6">
      <c r="E873" s="368"/>
      <c r="F873" s="368"/>
    </row>
    <row r="874" spans="5:6">
      <c r="E874" s="368"/>
      <c r="F874" s="368"/>
    </row>
    <row r="875" spans="5:6">
      <c r="E875" s="368"/>
      <c r="F875" s="368"/>
    </row>
    <row r="876" spans="5:6">
      <c r="E876" s="368"/>
      <c r="F876" s="368"/>
    </row>
    <row r="877" spans="5:6">
      <c r="E877" s="368"/>
      <c r="F877" s="368"/>
    </row>
    <row r="878" spans="5:6">
      <c r="E878" s="368"/>
      <c r="F878" s="368"/>
    </row>
    <row r="879" spans="5:6">
      <c r="E879" s="368"/>
      <c r="F879" s="368"/>
    </row>
    <row r="880" spans="5:6">
      <c r="E880" s="368"/>
      <c r="F880" s="368"/>
    </row>
    <row r="881" spans="5:6">
      <c r="E881" s="368"/>
      <c r="F881" s="368"/>
    </row>
    <row r="882" spans="5:6">
      <c r="E882" s="368"/>
      <c r="F882" s="368"/>
    </row>
    <row r="883" spans="5:6">
      <c r="E883" s="368"/>
      <c r="F883" s="368"/>
    </row>
    <row r="884" spans="5:6">
      <c r="E884" s="368"/>
      <c r="F884" s="368"/>
    </row>
    <row r="885" spans="5:6">
      <c r="E885" s="368"/>
      <c r="F885" s="368"/>
    </row>
    <row r="886" spans="5:6">
      <c r="E886" s="368"/>
      <c r="F886" s="368"/>
    </row>
    <row r="887" spans="5:6">
      <c r="E887" s="368"/>
      <c r="F887" s="368"/>
    </row>
    <row r="888" spans="5:6">
      <c r="E888" s="368"/>
      <c r="F888" s="368"/>
    </row>
    <row r="889" spans="5:6">
      <c r="E889" s="368"/>
      <c r="F889" s="368"/>
    </row>
    <row r="890" spans="5:6">
      <c r="E890" s="368"/>
      <c r="F890" s="368"/>
    </row>
    <row r="891" spans="5:6">
      <c r="E891" s="368"/>
      <c r="F891" s="368"/>
    </row>
    <row r="892" spans="5:6">
      <c r="E892" s="368"/>
      <c r="F892" s="368"/>
    </row>
    <row r="893" spans="5:6">
      <c r="E893" s="368"/>
      <c r="F893" s="368"/>
    </row>
    <row r="894" spans="5:6">
      <c r="E894" s="368"/>
      <c r="F894" s="368"/>
    </row>
    <row r="895" spans="5:6">
      <c r="E895" s="368"/>
      <c r="F895" s="368"/>
    </row>
    <row r="896" spans="5:6">
      <c r="E896" s="368"/>
      <c r="F896" s="368"/>
    </row>
    <row r="897" spans="5:6">
      <c r="E897" s="368"/>
      <c r="F897" s="368"/>
    </row>
    <row r="898" spans="5:6">
      <c r="E898" s="368"/>
      <c r="F898" s="368"/>
    </row>
    <row r="899" spans="5:6">
      <c r="E899" s="368"/>
      <c r="F899" s="368"/>
    </row>
    <row r="900" spans="5:6">
      <c r="E900" s="368"/>
      <c r="F900" s="368"/>
    </row>
    <row r="901" spans="5:6">
      <c r="E901" s="368"/>
      <c r="F901" s="368"/>
    </row>
    <row r="902" spans="5:6">
      <c r="E902" s="368"/>
      <c r="F902" s="368"/>
    </row>
    <row r="903" spans="5:6">
      <c r="E903" s="368"/>
      <c r="F903" s="368"/>
    </row>
    <row r="904" spans="5:6">
      <c r="E904" s="368"/>
      <c r="F904" s="368"/>
    </row>
    <row r="905" spans="5:6">
      <c r="E905" s="368"/>
      <c r="F905" s="368"/>
    </row>
    <row r="906" spans="5:6">
      <c r="E906" s="368"/>
      <c r="F906" s="368"/>
    </row>
    <row r="907" spans="5:6">
      <c r="E907" s="368"/>
      <c r="F907" s="368"/>
    </row>
    <row r="908" spans="5:6">
      <c r="E908" s="368"/>
      <c r="F908" s="368"/>
    </row>
    <row r="909" spans="5:6">
      <c r="E909" s="368"/>
      <c r="F909" s="368"/>
    </row>
    <row r="910" spans="5:6">
      <c r="E910" s="368"/>
      <c r="F910" s="368"/>
    </row>
    <row r="911" spans="5:6">
      <c r="E911" s="368"/>
      <c r="F911" s="368"/>
    </row>
    <row r="912" spans="5:6">
      <c r="E912" s="368"/>
      <c r="F912" s="368"/>
    </row>
    <row r="913" spans="5:6">
      <c r="E913" s="368"/>
      <c r="F913" s="368"/>
    </row>
    <row r="914" spans="5:6">
      <c r="E914" s="368"/>
      <c r="F914" s="368"/>
    </row>
    <row r="915" spans="5:6">
      <c r="E915" s="368"/>
      <c r="F915" s="368"/>
    </row>
    <row r="916" spans="5:6">
      <c r="E916" s="368"/>
      <c r="F916" s="368"/>
    </row>
    <row r="917" spans="5:6">
      <c r="E917" s="368"/>
      <c r="F917" s="368"/>
    </row>
    <row r="918" spans="5:6">
      <c r="E918" s="368"/>
      <c r="F918" s="368"/>
    </row>
    <row r="919" spans="5:6">
      <c r="E919" s="368"/>
      <c r="F919" s="368"/>
    </row>
    <row r="920" spans="5:6">
      <c r="E920" s="368"/>
      <c r="F920" s="368"/>
    </row>
    <row r="921" spans="5:6">
      <c r="E921" s="368"/>
      <c r="F921" s="368"/>
    </row>
    <row r="922" spans="5:6">
      <c r="E922" s="368"/>
      <c r="F922" s="368"/>
    </row>
    <row r="923" spans="5:6">
      <c r="E923" s="368"/>
      <c r="F923" s="368"/>
    </row>
    <row r="924" spans="5:6">
      <c r="E924" s="368"/>
      <c r="F924" s="368"/>
    </row>
    <row r="925" spans="5:6">
      <c r="E925" s="368"/>
      <c r="F925" s="368"/>
    </row>
    <row r="926" spans="5:6">
      <c r="E926" s="368"/>
      <c r="F926" s="368"/>
    </row>
    <row r="927" spans="5:6">
      <c r="E927" s="368"/>
      <c r="F927" s="368"/>
    </row>
    <row r="928" spans="5:6">
      <c r="E928" s="368"/>
      <c r="F928" s="368"/>
    </row>
    <row r="929" spans="5:6">
      <c r="E929" s="368"/>
      <c r="F929" s="368"/>
    </row>
    <row r="930" spans="5:6">
      <c r="E930" s="368"/>
      <c r="F930" s="368"/>
    </row>
    <row r="931" spans="5:6">
      <c r="E931" s="368"/>
      <c r="F931" s="368"/>
    </row>
    <row r="932" spans="5:6">
      <c r="E932" s="368"/>
      <c r="F932" s="368"/>
    </row>
    <row r="933" spans="5:6">
      <c r="E933" s="368"/>
      <c r="F933" s="368"/>
    </row>
    <row r="934" spans="5:6">
      <c r="E934" s="368"/>
      <c r="F934" s="368"/>
    </row>
    <row r="935" spans="5:6">
      <c r="E935" s="368"/>
      <c r="F935" s="368"/>
    </row>
    <row r="936" spans="5:6">
      <c r="E936" s="368"/>
      <c r="F936" s="368"/>
    </row>
    <row r="937" spans="5:6">
      <c r="E937" s="368"/>
      <c r="F937" s="368"/>
    </row>
    <row r="938" spans="5:6">
      <c r="E938" s="368"/>
      <c r="F938" s="368"/>
    </row>
    <row r="939" spans="5:6">
      <c r="E939" s="368"/>
      <c r="F939" s="368"/>
    </row>
    <row r="940" spans="5:6">
      <c r="E940" s="368"/>
      <c r="F940" s="368"/>
    </row>
    <row r="941" spans="5:6">
      <c r="E941" s="368"/>
      <c r="F941" s="368"/>
    </row>
    <row r="942" spans="5:6">
      <c r="E942" s="368"/>
      <c r="F942" s="368"/>
    </row>
    <row r="943" spans="5:6">
      <c r="E943" s="368"/>
      <c r="F943" s="368"/>
    </row>
    <row r="944" spans="5:6">
      <c r="E944" s="368"/>
      <c r="F944" s="368"/>
    </row>
    <row r="945" spans="5:6">
      <c r="E945" s="368"/>
      <c r="F945" s="368"/>
    </row>
    <row r="946" spans="5:6">
      <c r="E946" s="368"/>
      <c r="F946" s="368"/>
    </row>
    <row r="947" spans="5:6">
      <c r="E947" s="368"/>
      <c r="F947" s="368"/>
    </row>
    <row r="948" spans="5:6">
      <c r="E948" s="368"/>
      <c r="F948" s="368"/>
    </row>
    <row r="949" spans="5:6">
      <c r="E949" s="368"/>
      <c r="F949" s="368"/>
    </row>
    <row r="950" spans="5:6">
      <c r="E950" s="368"/>
      <c r="F950" s="368"/>
    </row>
    <row r="951" spans="5:6">
      <c r="E951" s="368"/>
      <c r="F951" s="368"/>
    </row>
    <row r="952" spans="5:6">
      <c r="E952" s="368"/>
      <c r="F952" s="368"/>
    </row>
    <row r="953" spans="5:6">
      <c r="E953" s="368"/>
      <c r="F953" s="368"/>
    </row>
    <row r="954" spans="5:6">
      <c r="E954" s="368"/>
      <c r="F954" s="368"/>
    </row>
    <row r="955" spans="5:6">
      <c r="E955" s="368"/>
      <c r="F955" s="368"/>
    </row>
    <row r="956" spans="5:6">
      <c r="E956" s="368"/>
      <c r="F956" s="368"/>
    </row>
    <row r="957" spans="5:6">
      <c r="E957" s="368"/>
      <c r="F957" s="368"/>
    </row>
    <row r="958" spans="5:6">
      <c r="E958" s="368"/>
      <c r="F958" s="368"/>
    </row>
    <row r="959" spans="5:6">
      <c r="E959" s="368"/>
      <c r="F959" s="368"/>
    </row>
    <row r="960" spans="5:6">
      <c r="E960" s="368"/>
      <c r="F960" s="368"/>
    </row>
    <row r="961" spans="5:6">
      <c r="E961" s="368"/>
      <c r="F961" s="368"/>
    </row>
    <row r="962" spans="5:6">
      <c r="E962" s="368"/>
      <c r="F962" s="368"/>
    </row>
    <row r="963" spans="5:6">
      <c r="E963" s="368"/>
      <c r="F963" s="368"/>
    </row>
    <row r="964" spans="5:6">
      <c r="E964" s="368"/>
      <c r="F964" s="368"/>
    </row>
    <row r="965" spans="5:6">
      <c r="E965" s="368"/>
      <c r="F965" s="368"/>
    </row>
    <row r="966" spans="5:6">
      <c r="E966" s="368"/>
      <c r="F966" s="368"/>
    </row>
    <row r="967" spans="5:6">
      <c r="E967" s="368"/>
      <c r="F967" s="368"/>
    </row>
    <row r="968" spans="5:6">
      <c r="E968" s="368"/>
      <c r="F968" s="368"/>
    </row>
    <row r="969" spans="5:6">
      <c r="E969" s="368"/>
      <c r="F969" s="368"/>
    </row>
    <row r="970" spans="5:6">
      <c r="E970" s="368"/>
      <c r="F970" s="368"/>
    </row>
    <row r="971" spans="5:6">
      <c r="E971" s="368"/>
      <c r="F971" s="368"/>
    </row>
    <row r="972" spans="5:6">
      <c r="E972" s="368"/>
      <c r="F972" s="368"/>
    </row>
    <row r="973" spans="5:6">
      <c r="E973" s="368"/>
      <c r="F973" s="368"/>
    </row>
    <row r="974" spans="5:6">
      <c r="E974" s="368"/>
      <c r="F974" s="368"/>
    </row>
    <row r="975" spans="5:6">
      <c r="E975" s="368"/>
      <c r="F975" s="368"/>
    </row>
    <row r="976" spans="5:6">
      <c r="E976" s="368"/>
      <c r="F976" s="368"/>
    </row>
    <row r="977" spans="5:6">
      <c r="E977" s="368"/>
      <c r="F977" s="368"/>
    </row>
    <row r="978" spans="5:6">
      <c r="E978" s="368"/>
      <c r="F978" s="368"/>
    </row>
    <row r="979" spans="5:6">
      <c r="E979" s="368"/>
      <c r="F979" s="368"/>
    </row>
    <row r="980" spans="5:6">
      <c r="E980" s="368"/>
      <c r="F980" s="368"/>
    </row>
    <row r="981" spans="5:6">
      <c r="E981" s="368"/>
      <c r="F981" s="368"/>
    </row>
    <row r="982" spans="5:6">
      <c r="E982" s="368"/>
      <c r="F982" s="368"/>
    </row>
    <row r="983" spans="5:6">
      <c r="E983" s="368"/>
      <c r="F983" s="368"/>
    </row>
    <row r="984" spans="5:6">
      <c r="E984" s="368"/>
      <c r="F984" s="368"/>
    </row>
    <row r="985" spans="5:6">
      <c r="E985" s="368"/>
      <c r="F985" s="368"/>
    </row>
    <row r="986" spans="5:6">
      <c r="E986" s="368"/>
      <c r="F986" s="368"/>
    </row>
    <row r="987" spans="5:6">
      <c r="E987" s="368"/>
      <c r="F987" s="368"/>
    </row>
    <row r="988" spans="5:6">
      <c r="E988" s="368"/>
      <c r="F988" s="368"/>
    </row>
    <row r="989" spans="5:6">
      <c r="E989" s="368"/>
      <c r="F989" s="368"/>
    </row>
    <row r="990" spans="5:6">
      <c r="E990" s="368"/>
      <c r="F990" s="368"/>
    </row>
    <row r="991" spans="5:6">
      <c r="E991" s="368"/>
      <c r="F991" s="368"/>
    </row>
    <row r="992" spans="5:6">
      <c r="E992" s="368"/>
      <c r="F992" s="368"/>
    </row>
    <row r="993" spans="5:6">
      <c r="E993" s="368"/>
      <c r="F993" s="368"/>
    </row>
    <row r="994" spans="5:6">
      <c r="E994" s="368"/>
      <c r="F994" s="368"/>
    </row>
    <row r="995" spans="5:6">
      <c r="E995" s="368"/>
      <c r="F995" s="368"/>
    </row>
    <row r="996" spans="5:6">
      <c r="E996" s="368"/>
      <c r="F996" s="368"/>
    </row>
    <row r="997" spans="5:6">
      <c r="E997" s="368"/>
      <c r="F997" s="368"/>
    </row>
    <row r="998" spans="5:6">
      <c r="E998" s="368"/>
      <c r="F998" s="368"/>
    </row>
    <row r="999" spans="5:6">
      <c r="E999" s="368"/>
      <c r="F999" s="368"/>
    </row>
    <row r="1000" spans="5:6">
      <c r="E1000" s="368"/>
      <c r="F1000" s="368"/>
    </row>
    <row r="1001" spans="5:6">
      <c r="E1001" s="368"/>
      <c r="F1001" s="368"/>
    </row>
    <row r="1002" spans="5:6">
      <c r="E1002" s="368"/>
      <c r="F1002" s="368"/>
    </row>
    <row r="1003" spans="5:6">
      <c r="E1003" s="368"/>
      <c r="F1003" s="368"/>
    </row>
    <row r="1004" spans="5:6">
      <c r="E1004" s="368"/>
      <c r="F1004" s="368"/>
    </row>
    <row r="1005" spans="5:6">
      <c r="E1005" s="368"/>
      <c r="F1005" s="368"/>
    </row>
    <row r="1006" spans="5:6">
      <c r="E1006" s="368"/>
      <c r="F1006" s="368"/>
    </row>
    <row r="1007" spans="5:6">
      <c r="E1007" s="368"/>
      <c r="F1007" s="368"/>
    </row>
    <row r="1008" spans="5:6">
      <c r="E1008" s="368"/>
      <c r="F1008" s="368"/>
    </row>
    <row r="1009" spans="5:6">
      <c r="E1009" s="368"/>
      <c r="F1009" s="368"/>
    </row>
    <row r="1010" spans="5:6">
      <c r="E1010" s="368"/>
      <c r="F1010" s="368"/>
    </row>
    <row r="1011" spans="5:6">
      <c r="E1011" s="368"/>
      <c r="F1011" s="368"/>
    </row>
    <row r="1012" spans="5:6">
      <c r="E1012" s="368"/>
      <c r="F1012" s="368"/>
    </row>
    <row r="1013" spans="5:6">
      <c r="E1013" s="368"/>
      <c r="F1013" s="368"/>
    </row>
    <row r="1014" spans="5:6">
      <c r="E1014" s="368"/>
      <c r="F1014" s="368"/>
    </row>
    <row r="1015" spans="5:6">
      <c r="E1015" s="368"/>
      <c r="F1015" s="368"/>
    </row>
    <row r="1016" spans="5:6">
      <c r="E1016" s="368"/>
      <c r="F1016" s="368"/>
    </row>
    <row r="1017" spans="5:6">
      <c r="E1017" s="368"/>
      <c r="F1017" s="368"/>
    </row>
    <row r="1018" spans="5:6">
      <c r="E1018" s="368"/>
      <c r="F1018" s="368"/>
    </row>
    <row r="1019" spans="5:6">
      <c r="E1019" s="368"/>
      <c r="F1019" s="368"/>
    </row>
    <row r="1020" spans="5:6">
      <c r="E1020" s="368"/>
      <c r="F1020" s="368"/>
    </row>
    <row r="1021" spans="5:6">
      <c r="E1021" s="368"/>
      <c r="F1021" s="368"/>
    </row>
    <row r="1022" spans="5:6">
      <c r="E1022" s="368"/>
      <c r="F1022" s="368"/>
    </row>
    <row r="1023" spans="5:6">
      <c r="E1023" s="368"/>
      <c r="F1023" s="368"/>
    </row>
    <row r="1024" spans="5:6">
      <c r="E1024" s="368"/>
      <c r="F1024" s="368"/>
    </row>
    <row r="1025" spans="5:6">
      <c r="E1025" s="368"/>
      <c r="F1025" s="368"/>
    </row>
    <row r="1026" spans="5:6">
      <c r="E1026" s="368"/>
      <c r="F1026" s="368"/>
    </row>
    <row r="1027" spans="5:6">
      <c r="E1027" s="368"/>
      <c r="F1027" s="368"/>
    </row>
    <row r="1028" spans="5:6">
      <c r="E1028" s="368"/>
      <c r="F1028" s="368"/>
    </row>
    <row r="1029" spans="5:6">
      <c r="E1029" s="368"/>
      <c r="F1029" s="368"/>
    </row>
    <row r="1030" spans="5:6">
      <c r="E1030" s="368"/>
      <c r="F1030" s="368"/>
    </row>
    <row r="1031" spans="5:6">
      <c r="E1031" s="368"/>
      <c r="F1031" s="368"/>
    </row>
    <row r="1032" spans="5:6">
      <c r="E1032" s="368"/>
      <c r="F1032" s="368"/>
    </row>
    <row r="1033" spans="5:6">
      <c r="E1033" s="368"/>
      <c r="F1033" s="368"/>
    </row>
    <row r="1034" spans="5:6">
      <c r="E1034" s="368"/>
      <c r="F1034" s="368"/>
    </row>
    <row r="1035" spans="5:6">
      <c r="E1035" s="368"/>
      <c r="F1035" s="368"/>
    </row>
    <row r="1036" spans="5:6">
      <c r="E1036" s="368"/>
      <c r="F1036" s="368"/>
    </row>
    <row r="1037" spans="5:6">
      <c r="E1037" s="368"/>
      <c r="F1037" s="368"/>
    </row>
    <row r="1038" spans="5:6">
      <c r="E1038" s="368"/>
      <c r="F1038" s="368"/>
    </row>
    <row r="1039" spans="5:6">
      <c r="E1039" s="368"/>
      <c r="F1039" s="368"/>
    </row>
    <row r="1040" spans="5:6">
      <c r="E1040" s="368"/>
      <c r="F1040" s="368"/>
    </row>
    <row r="1041" spans="5:6">
      <c r="E1041" s="368"/>
      <c r="F1041" s="368"/>
    </row>
    <row r="1042" spans="5:6">
      <c r="E1042" s="368"/>
      <c r="F1042" s="368"/>
    </row>
    <row r="1043" spans="5:6">
      <c r="E1043" s="368"/>
      <c r="F1043" s="368"/>
    </row>
    <row r="1044" spans="5:6">
      <c r="E1044" s="368"/>
      <c r="F1044" s="368"/>
    </row>
    <row r="1045" spans="5:6">
      <c r="E1045" s="368"/>
      <c r="F1045" s="368"/>
    </row>
    <row r="1046" spans="5:6">
      <c r="E1046" s="368"/>
      <c r="F1046" s="368"/>
    </row>
    <row r="1047" spans="5:6">
      <c r="E1047" s="368"/>
      <c r="F1047" s="368"/>
    </row>
    <row r="1048" spans="5:6">
      <c r="E1048" s="368"/>
      <c r="F1048" s="368"/>
    </row>
    <row r="1049" spans="5:6">
      <c r="E1049" s="368"/>
      <c r="F1049" s="368"/>
    </row>
    <row r="1050" spans="5:6">
      <c r="E1050" s="368"/>
      <c r="F1050" s="368"/>
    </row>
    <row r="1051" spans="5:6">
      <c r="E1051" s="368"/>
      <c r="F1051" s="368"/>
    </row>
    <row r="1052" spans="5:6">
      <c r="E1052" s="368"/>
      <c r="F1052" s="368"/>
    </row>
    <row r="1053" spans="5:6">
      <c r="E1053" s="368"/>
      <c r="F1053" s="368"/>
    </row>
    <row r="1054" spans="5:6">
      <c r="E1054" s="368"/>
      <c r="F1054" s="368"/>
    </row>
    <row r="1055" spans="5:6">
      <c r="E1055" s="368"/>
      <c r="F1055" s="368"/>
    </row>
    <row r="1056" spans="5:6">
      <c r="E1056" s="368"/>
      <c r="F1056" s="368"/>
    </row>
    <row r="1057" spans="5:6">
      <c r="E1057" s="368"/>
      <c r="F1057" s="368"/>
    </row>
    <row r="1058" spans="5:6">
      <c r="E1058" s="368"/>
      <c r="F1058" s="368"/>
    </row>
    <row r="1059" spans="5:6">
      <c r="E1059" s="368"/>
      <c r="F1059" s="368"/>
    </row>
    <row r="1060" spans="5:6">
      <c r="E1060" s="368"/>
      <c r="F1060" s="368"/>
    </row>
    <row r="1061" spans="5:6">
      <c r="E1061" s="368"/>
      <c r="F1061" s="368"/>
    </row>
    <row r="1062" spans="5:6">
      <c r="E1062" s="368"/>
      <c r="F1062" s="368"/>
    </row>
    <row r="1063" spans="5:6">
      <c r="E1063" s="368"/>
      <c r="F1063" s="368"/>
    </row>
    <row r="1064" spans="5:6">
      <c r="E1064" s="368"/>
      <c r="F1064" s="368"/>
    </row>
    <row r="1065" spans="5:6">
      <c r="E1065" s="368"/>
      <c r="F1065" s="368"/>
    </row>
    <row r="1066" spans="5:6">
      <c r="E1066" s="368"/>
      <c r="F1066" s="368"/>
    </row>
    <row r="1067" spans="5:6">
      <c r="E1067" s="368"/>
      <c r="F1067" s="368"/>
    </row>
    <row r="1068" spans="5:6">
      <c r="E1068" s="368"/>
      <c r="F1068" s="368"/>
    </row>
    <row r="1069" spans="5:6">
      <c r="E1069" s="368"/>
      <c r="F1069" s="368"/>
    </row>
    <row r="1070" spans="5:6">
      <c r="E1070" s="368"/>
      <c r="F1070" s="368"/>
    </row>
    <row r="1071" spans="5:6">
      <c r="E1071" s="368"/>
      <c r="F1071" s="368"/>
    </row>
    <row r="1072" spans="5:6">
      <c r="E1072" s="368"/>
      <c r="F1072" s="368"/>
    </row>
    <row r="1073" spans="5:6">
      <c r="E1073" s="368"/>
      <c r="F1073" s="368"/>
    </row>
    <row r="1074" spans="5:6">
      <c r="E1074" s="368"/>
      <c r="F1074" s="368"/>
    </row>
    <row r="1075" spans="5:6">
      <c r="E1075" s="368"/>
      <c r="F1075" s="368"/>
    </row>
    <row r="1076" spans="5:6">
      <c r="E1076" s="368"/>
      <c r="F1076" s="368"/>
    </row>
    <row r="1077" spans="5:6">
      <c r="E1077" s="368"/>
      <c r="F1077" s="368"/>
    </row>
    <row r="1078" spans="5:6">
      <c r="E1078" s="368"/>
      <c r="F1078" s="368"/>
    </row>
    <row r="1079" spans="5:6">
      <c r="E1079" s="368"/>
      <c r="F1079" s="368"/>
    </row>
    <row r="1080" spans="5:6">
      <c r="E1080" s="368"/>
      <c r="F1080" s="368"/>
    </row>
    <row r="1081" spans="5:6">
      <c r="E1081" s="368"/>
      <c r="F1081" s="368"/>
    </row>
    <row r="1082" spans="5:6">
      <c r="E1082" s="368"/>
      <c r="F1082" s="368"/>
    </row>
    <row r="1083" spans="5:6">
      <c r="E1083" s="368"/>
      <c r="F1083" s="368"/>
    </row>
    <row r="1084" spans="5:6">
      <c r="E1084" s="368"/>
      <c r="F1084" s="368"/>
    </row>
    <row r="1085" spans="5:6">
      <c r="E1085" s="368"/>
      <c r="F1085" s="368"/>
    </row>
    <row r="1086" spans="5:6">
      <c r="E1086" s="368"/>
      <c r="F1086" s="368"/>
    </row>
    <row r="1087" spans="5:6">
      <c r="E1087" s="368"/>
      <c r="F1087" s="368"/>
    </row>
    <row r="1088" spans="5:6">
      <c r="E1088" s="368"/>
      <c r="F1088" s="368"/>
    </row>
    <row r="1089" spans="5:6">
      <c r="E1089" s="368"/>
      <c r="F1089" s="368"/>
    </row>
    <row r="1090" spans="5:6">
      <c r="E1090" s="368"/>
      <c r="F1090" s="368"/>
    </row>
    <row r="1091" spans="5:6">
      <c r="E1091" s="368"/>
      <c r="F1091" s="368"/>
    </row>
    <row r="1092" spans="5:6">
      <c r="E1092" s="368"/>
      <c r="F1092" s="368"/>
    </row>
    <row r="1093" spans="5:6">
      <c r="E1093" s="368"/>
      <c r="F1093" s="368"/>
    </row>
    <row r="1094" spans="5:6">
      <c r="E1094" s="368"/>
      <c r="F1094" s="368"/>
    </row>
    <row r="1095" spans="5:6">
      <c r="E1095" s="368"/>
      <c r="F1095" s="368"/>
    </row>
    <row r="1096" spans="5:6">
      <c r="E1096" s="368"/>
      <c r="F1096" s="368"/>
    </row>
    <row r="1097" spans="5:6">
      <c r="E1097" s="368"/>
      <c r="F1097" s="368"/>
    </row>
    <row r="1098" spans="5:6">
      <c r="E1098" s="368"/>
      <c r="F1098" s="368"/>
    </row>
    <row r="1099" spans="5:6">
      <c r="E1099" s="368"/>
      <c r="F1099" s="368"/>
    </row>
    <row r="1100" spans="5:6">
      <c r="E1100" s="368"/>
      <c r="F1100" s="368"/>
    </row>
    <row r="1101" spans="5:6">
      <c r="E1101" s="368"/>
      <c r="F1101" s="368"/>
    </row>
    <row r="1102" spans="5:6">
      <c r="E1102" s="368"/>
      <c r="F1102" s="368"/>
    </row>
    <row r="1103" spans="5:6">
      <c r="E1103" s="368"/>
      <c r="F1103" s="368"/>
    </row>
    <row r="1104" spans="5:6">
      <c r="E1104" s="368"/>
      <c r="F1104" s="368"/>
    </row>
    <row r="1105" spans="5:6">
      <c r="E1105" s="368"/>
      <c r="F1105" s="368"/>
    </row>
    <row r="1106" spans="5:6">
      <c r="E1106" s="368"/>
      <c r="F1106" s="368"/>
    </row>
    <row r="1107" spans="5:6">
      <c r="E1107" s="368"/>
      <c r="F1107" s="368"/>
    </row>
    <row r="1108" spans="5:6">
      <c r="E1108" s="368"/>
      <c r="F1108" s="368"/>
    </row>
    <row r="1109" spans="5:6">
      <c r="E1109" s="368"/>
      <c r="F1109" s="368"/>
    </row>
    <row r="1110" spans="5:6">
      <c r="E1110" s="368"/>
      <c r="F1110" s="368"/>
    </row>
    <row r="1111" spans="5:6">
      <c r="E1111" s="368"/>
      <c r="F1111" s="368"/>
    </row>
    <row r="1112" spans="5:6">
      <c r="E1112" s="368"/>
      <c r="F1112" s="368"/>
    </row>
    <row r="1113" spans="5:6">
      <c r="E1113" s="368"/>
      <c r="F1113" s="368"/>
    </row>
    <row r="1114" spans="5:6">
      <c r="E1114" s="368"/>
      <c r="F1114" s="368"/>
    </row>
    <row r="1115" spans="5:6">
      <c r="E1115" s="368"/>
      <c r="F1115" s="368"/>
    </row>
    <row r="1116" spans="5:6">
      <c r="E1116" s="368"/>
      <c r="F1116" s="368"/>
    </row>
    <row r="1117" spans="5:6">
      <c r="E1117" s="368"/>
      <c r="F1117" s="368"/>
    </row>
    <row r="1118" spans="5:6">
      <c r="E1118" s="368"/>
      <c r="F1118" s="368"/>
    </row>
    <row r="1119" spans="5:6">
      <c r="E1119" s="368"/>
      <c r="F1119" s="368"/>
    </row>
    <row r="1120" spans="5:6">
      <c r="E1120" s="368"/>
      <c r="F1120" s="368"/>
    </row>
    <row r="1121" spans="5:6">
      <c r="E1121" s="368"/>
      <c r="F1121" s="368"/>
    </row>
    <row r="1122" spans="5:6">
      <c r="E1122" s="368"/>
      <c r="F1122" s="368"/>
    </row>
    <row r="1123" spans="5:6">
      <c r="E1123" s="368"/>
      <c r="F1123" s="368"/>
    </row>
    <row r="1124" spans="5:6">
      <c r="E1124" s="368"/>
      <c r="F1124" s="368"/>
    </row>
    <row r="1125" spans="5:6">
      <c r="E1125" s="368"/>
      <c r="F1125" s="368"/>
    </row>
  </sheetData>
  <mergeCells count="255">
    <mergeCell ref="A81:D81"/>
    <mergeCell ref="B68:B69"/>
    <mergeCell ref="A42:A43"/>
    <mergeCell ref="K62:K63"/>
    <mergeCell ref="A2:Q2"/>
    <mergeCell ref="L56:L58"/>
    <mergeCell ref="O56:O58"/>
    <mergeCell ref="P56:P58"/>
    <mergeCell ref="A59:A61"/>
    <mergeCell ref="P59:P61"/>
    <mergeCell ref="Q59:Q61"/>
    <mergeCell ref="K59:K61"/>
    <mergeCell ref="L59:L61"/>
    <mergeCell ref="O59:O61"/>
    <mergeCell ref="K56:K58"/>
    <mergeCell ref="A7:E7"/>
    <mergeCell ref="Q24:Q25"/>
    <mergeCell ref="L26:L27"/>
    <mergeCell ref="Q32:Q34"/>
    <mergeCell ref="L42:L43"/>
    <mergeCell ref="O42:O43"/>
    <mergeCell ref="Q14:Q16"/>
    <mergeCell ref="L39:L41"/>
    <mergeCell ref="K39:K41"/>
    <mergeCell ref="A39:A41"/>
    <mergeCell ref="A44:A45"/>
    <mergeCell ref="K44:K45"/>
    <mergeCell ref="K42:K43"/>
    <mergeCell ref="A28:A29"/>
    <mergeCell ref="B28:B29"/>
    <mergeCell ref="C28:C29"/>
    <mergeCell ref="J28:J29"/>
    <mergeCell ref="K28:K29"/>
    <mergeCell ref="B32:B36"/>
    <mergeCell ref="C32:C36"/>
    <mergeCell ref="D34:D36"/>
    <mergeCell ref="E34:E36"/>
    <mergeCell ref="H34:H36"/>
    <mergeCell ref="J11:J12"/>
    <mergeCell ref="K11:K12"/>
    <mergeCell ref="A24:A25"/>
    <mergeCell ref="A26:A27"/>
    <mergeCell ref="B39:B41"/>
    <mergeCell ref="C39:C41"/>
    <mergeCell ref="J39:J41"/>
    <mergeCell ref="L11:L12"/>
    <mergeCell ref="A14:A16"/>
    <mergeCell ref="B14:B16"/>
    <mergeCell ref="C14:C16"/>
    <mergeCell ref="H11:H12"/>
    <mergeCell ref="I11:I12"/>
    <mergeCell ref="C11:C12"/>
    <mergeCell ref="D11:D12"/>
    <mergeCell ref="E11:E12"/>
    <mergeCell ref="G11:G12"/>
    <mergeCell ref="F11:F12"/>
    <mergeCell ref="K14:K16"/>
    <mergeCell ref="L14:L16"/>
    <mergeCell ref="A11:A12"/>
    <mergeCell ref="B11:B12"/>
    <mergeCell ref="J14:J16"/>
    <mergeCell ref="L24:L25"/>
    <mergeCell ref="C24:C25"/>
    <mergeCell ref="J24:J25"/>
    <mergeCell ref="K24:K25"/>
    <mergeCell ref="K30:K31"/>
    <mergeCell ref="B24:B25"/>
    <mergeCell ref="L30:L31"/>
    <mergeCell ref="L28:L29"/>
    <mergeCell ref="L32:L36"/>
    <mergeCell ref="I34:I36"/>
    <mergeCell ref="B26:B27"/>
    <mergeCell ref="C26:C27"/>
    <mergeCell ref="J26:J27"/>
    <mergeCell ref="K26:K27"/>
    <mergeCell ref="P62:P63"/>
    <mergeCell ref="J68:J69"/>
    <mergeCell ref="O62:O63"/>
    <mergeCell ref="O64:O66"/>
    <mergeCell ref="B90:D90"/>
    <mergeCell ref="B86:D86"/>
    <mergeCell ref="C44:C45"/>
    <mergeCell ref="J44:J45"/>
    <mergeCell ref="C42:C43"/>
    <mergeCell ref="J42:J43"/>
    <mergeCell ref="B64:B66"/>
    <mergeCell ref="C64:C66"/>
    <mergeCell ref="B62:B63"/>
    <mergeCell ref="B42:B43"/>
    <mergeCell ref="A79:D79"/>
    <mergeCell ref="A80:D80"/>
    <mergeCell ref="A82:D82"/>
    <mergeCell ref="A83:D83"/>
    <mergeCell ref="A84:D84"/>
    <mergeCell ref="A85:D85"/>
    <mergeCell ref="A87:D87"/>
    <mergeCell ref="A88:D88"/>
    <mergeCell ref="K68:K69"/>
    <mergeCell ref="N68:N69"/>
    <mergeCell ref="N44:N45"/>
    <mergeCell ref="M46:M48"/>
    <mergeCell ref="N46:N48"/>
    <mergeCell ref="M49:M51"/>
    <mergeCell ref="N49:N51"/>
    <mergeCell ref="M56:M58"/>
    <mergeCell ref="N56:N58"/>
    <mergeCell ref="M62:M63"/>
    <mergeCell ref="N62:N63"/>
    <mergeCell ref="Q72:Q74"/>
    <mergeCell ref="Q75:Q77"/>
    <mergeCell ref="A68:A69"/>
    <mergeCell ref="A75:A77"/>
    <mergeCell ref="B75:B77"/>
    <mergeCell ref="C75:C77"/>
    <mergeCell ref="J75:J77"/>
    <mergeCell ref="K75:K77"/>
    <mergeCell ref="L75:L77"/>
    <mergeCell ref="B72:B74"/>
    <mergeCell ref="C72:C74"/>
    <mergeCell ref="J72:J74"/>
    <mergeCell ref="K72:K74"/>
    <mergeCell ref="L72:L74"/>
    <mergeCell ref="A72:A74"/>
    <mergeCell ref="C68:C69"/>
    <mergeCell ref="Q68:Q69"/>
    <mergeCell ref="O75:O77"/>
    <mergeCell ref="O72:O74"/>
    <mergeCell ref="P72:P74"/>
    <mergeCell ref="L68:L69"/>
    <mergeCell ref="O68:O69"/>
    <mergeCell ref="P68:P69"/>
    <mergeCell ref="M68:M69"/>
    <mergeCell ref="C59:C61"/>
    <mergeCell ref="J59:J61"/>
    <mergeCell ref="A56:A58"/>
    <mergeCell ref="B56:B58"/>
    <mergeCell ref="C56:C58"/>
    <mergeCell ref="J56:J58"/>
    <mergeCell ref="L62:L63"/>
    <mergeCell ref="A64:A66"/>
    <mergeCell ref="A62:A63"/>
    <mergeCell ref="C62:C63"/>
    <mergeCell ref="J62:J63"/>
    <mergeCell ref="J64:J66"/>
    <mergeCell ref="K64:K66"/>
    <mergeCell ref="A1:Q1"/>
    <mergeCell ref="P32:P34"/>
    <mergeCell ref="A93:C93"/>
    <mergeCell ref="L49:L51"/>
    <mergeCell ref="O49:O51"/>
    <mergeCell ref="P49:P51"/>
    <mergeCell ref="Q49:Q51"/>
    <mergeCell ref="Q46:Q48"/>
    <mergeCell ref="A49:A51"/>
    <mergeCell ref="B49:B51"/>
    <mergeCell ref="C49:C51"/>
    <mergeCell ref="J49:J51"/>
    <mergeCell ref="K49:K51"/>
    <mergeCell ref="C46:C48"/>
    <mergeCell ref="J46:J48"/>
    <mergeCell ref="K46:K48"/>
    <mergeCell ref="L46:L48"/>
    <mergeCell ref="O46:O48"/>
    <mergeCell ref="P46:P48"/>
    <mergeCell ref="A78:D78"/>
    <mergeCell ref="P75:P77"/>
    <mergeCell ref="B89:D89"/>
    <mergeCell ref="L64:L66"/>
    <mergeCell ref="B59:B61"/>
    <mergeCell ref="M28:M29"/>
    <mergeCell ref="N28:N29"/>
    <mergeCell ref="M32:M36"/>
    <mergeCell ref="N32:N36"/>
    <mergeCell ref="A8:L8"/>
    <mergeCell ref="A52:A54"/>
    <mergeCell ref="B52:B54"/>
    <mergeCell ref="C52:C54"/>
    <mergeCell ref="J52:J54"/>
    <mergeCell ref="K52:K54"/>
    <mergeCell ref="L52:L54"/>
    <mergeCell ref="A46:A48"/>
    <mergeCell ref="B46:B48"/>
    <mergeCell ref="M11:N11"/>
    <mergeCell ref="M14:M16"/>
    <mergeCell ref="L44:L45"/>
    <mergeCell ref="B44:B45"/>
    <mergeCell ref="A30:A31"/>
    <mergeCell ref="B30:B31"/>
    <mergeCell ref="C30:C31"/>
    <mergeCell ref="J30:J31"/>
    <mergeCell ref="A32:A36"/>
    <mergeCell ref="G34:G36"/>
    <mergeCell ref="F34:F36"/>
    <mergeCell ref="R68:R69"/>
    <mergeCell ref="Q62:Q63"/>
    <mergeCell ref="R64:R66"/>
    <mergeCell ref="R62:R63"/>
    <mergeCell ref="R56:R58"/>
    <mergeCell ref="Q39:Q41"/>
    <mergeCell ref="Q44:Q45"/>
    <mergeCell ref="R44:R45"/>
    <mergeCell ref="R46:R48"/>
    <mergeCell ref="R49:R51"/>
    <mergeCell ref="J55:R55"/>
    <mergeCell ref="J67:R67"/>
    <mergeCell ref="M39:M41"/>
    <mergeCell ref="N39:N41"/>
    <mergeCell ref="M42:M43"/>
    <mergeCell ref="N42:N43"/>
    <mergeCell ref="M44:M45"/>
    <mergeCell ref="M64:M66"/>
    <mergeCell ref="P42:P43"/>
    <mergeCell ref="Q42:Q43"/>
    <mergeCell ref="Q56:Q58"/>
    <mergeCell ref="P64:P66"/>
    <mergeCell ref="Q64:Q66"/>
    <mergeCell ref="N64:N66"/>
    <mergeCell ref="P44:P45"/>
    <mergeCell ref="O44:O45"/>
    <mergeCell ref="Q52:Q54"/>
    <mergeCell ref="P52:P54"/>
    <mergeCell ref="O52:O54"/>
    <mergeCell ref="P39:P41"/>
    <mergeCell ref="O39:O41"/>
    <mergeCell ref="O32:O34"/>
    <mergeCell ref="O28:O29"/>
    <mergeCell ref="Q30:Q31"/>
    <mergeCell ref="P30:P31"/>
    <mergeCell ref="O30:O31"/>
    <mergeCell ref="P28:P29"/>
    <mergeCell ref="Q28:Q29"/>
    <mergeCell ref="R11:R12"/>
    <mergeCell ref="J13:R13"/>
    <mergeCell ref="R14:R16"/>
    <mergeCell ref="R24:R25"/>
    <mergeCell ref="R26:R27"/>
    <mergeCell ref="R28:R29"/>
    <mergeCell ref="R32:R36"/>
    <mergeCell ref="R39:R41"/>
    <mergeCell ref="R42:R43"/>
    <mergeCell ref="Q26:Q27"/>
    <mergeCell ref="P26:P27"/>
    <mergeCell ref="O26:O27"/>
    <mergeCell ref="P24:P25"/>
    <mergeCell ref="O24:O25"/>
    <mergeCell ref="O14:O16"/>
    <mergeCell ref="P14:P16"/>
    <mergeCell ref="O11:Q11"/>
    <mergeCell ref="J32:J36"/>
    <mergeCell ref="K32:K36"/>
    <mergeCell ref="N14:N16"/>
    <mergeCell ref="M24:M25"/>
    <mergeCell ref="N24:N25"/>
    <mergeCell ref="M26:M27"/>
    <mergeCell ref="N26:N27"/>
  </mergeCells>
  <conditionalFormatting sqref="E11:H11">
    <cfRule type="dataBar" priority="1">
      <dataBar>
        <cfvo type="min"/>
        <cfvo type="max"/>
        <color rgb="FF638EC6"/>
      </dataBar>
      <extLst>
        <ext xmlns:x14="http://schemas.microsoft.com/office/spreadsheetml/2009/9/main" uri="{B025F937-C7B1-47D3-B67F-A62EFF666E3E}">
          <x14:id>{395B2D2B-A425-441B-B3C2-D7ECB41E06AB}</x14:id>
        </ext>
      </extLst>
    </cfRule>
  </conditionalFormatting>
  <conditionalFormatting sqref="I11:I12 J11">
    <cfRule type="dataBar" priority="44">
      <dataBar>
        <cfvo type="min"/>
        <cfvo type="max"/>
        <color rgb="FF638EC6"/>
      </dataBar>
      <extLst>
        <ext xmlns:x14="http://schemas.microsoft.com/office/spreadsheetml/2009/9/main" uri="{B025F937-C7B1-47D3-B67F-A62EFF666E3E}">
          <x14:id>{29C299C1-D674-4E79-9B19-544D0B95209D}</x14:id>
        </ext>
      </extLst>
    </cfRule>
  </conditionalFormatting>
  <pageMargins left="0.7" right="0.7" top="0.75" bottom="0.75" header="0.3" footer="0.3"/>
  <pageSetup paperSize="8" scale="60"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395B2D2B-A425-441B-B3C2-D7ECB41E06AB}">
            <x14:dataBar minLength="0" maxLength="100" border="1" negativeBarBorderColorSameAsPositive="0">
              <x14:cfvo type="autoMin"/>
              <x14:cfvo type="autoMax"/>
              <x14:borderColor rgb="FF638EC6"/>
              <x14:negativeFillColor rgb="FFFF0000"/>
              <x14:negativeBorderColor rgb="FFFF0000"/>
              <x14:axisColor rgb="FF000000"/>
            </x14:dataBar>
          </x14:cfRule>
          <xm:sqref>E11:H11</xm:sqref>
        </x14:conditionalFormatting>
        <x14:conditionalFormatting xmlns:xm="http://schemas.microsoft.com/office/excel/2006/main">
          <x14:cfRule type="dataBar" id="{29C299C1-D674-4E79-9B19-544D0B95209D}">
            <x14:dataBar minLength="0" maxLength="100" border="1" negativeBarBorderColorSameAsPositive="0">
              <x14:cfvo type="autoMin"/>
              <x14:cfvo type="autoMax"/>
              <x14:borderColor rgb="FF638EC6"/>
              <x14:negativeFillColor rgb="FFFF0000"/>
              <x14:negativeBorderColor rgb="FFFF0000"/>
              <x14:axisColor rgb="FF000000"/>
            </x14:dataBar>
          </x14:cfRule>
          <xm:sqref>I11:I12 J11</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DEC0F-9E04-419A-B5BC-8A3122F3A9CD}">
  <sheetPr codeName="Lapas16">
    <pageSetUpPr fitToPage="1"/>
  </sheetPr>
  <dimension ref="A1:AA1139"/>
  <sheetViews>
    <sheetView topLeftCell="A96" zoomScaleNormal="100" workbookViewId="0">
      <selection activeCell="M57" sqref="M57:M59"/>
    </sheetView>
  </sheetViews>
  <sheetFormatPr defaultColWidth="9.15234375" defaultRowHeight="12.45"/>
  <cols>
    <col min="1" max="1" width="15.69140625" style="378" customWidth="1"/>
    <col min="2" max="2" width="27.53515625" style="378" customWidth="1"/>
    <col min="3" max="3" width="4.3046875" style="378" customWidth="1"/>
    <col min="4" max="4" width="6.69140625" style="378" customWidth="1"/>
    <col min="5" max="5" width="12.69140625" style="386" customWidth="1"/>
    <col min="6" max="6" width="12.84375" style="386" customWidth="1"/>
    <col min="7" max="7" width="12.15234375" style="386" customWidth="1"/>
    <col min="8" max="8" width="11.53515625" style="386" customWidth="1"/>
    <col min="9" max="9" width="15" style="378" hidden="1" customWidth="1"/>
    <col min="10" max="10" width="15.69140625" style="378" hidden="1" customWidth="1"/>
    <col min="11" max="11" width="16.15234375" style="378" hidden="1" customWidth="1"/>
    <col min="12" max="12" width="12.69140625" style="378" customWidth="1"/>
    <col min="13" max="13" width="79.3046875" style="1539" customWidth="1"/>
    <col min="14" max="14" width="15.53515625" style="378" customWidth="1"/>
    <col min="15" max="15" width="29.15234375" style="378" customWidth="1"/>
    <col min="16" max="16" width="22" style="378" customWidth="1"/>
    <col min="17" max="17" width="20.3828125" style="378" customWidth="1"/>
    <col min="18" max="19" width="6.3046875" style="460" hidden="1" customWidth="1"/>
    <col min="20" max="20" width="7.69140625" style="460" hidden="1" customWidth="1"/>
    <col min="21" max="21" width="29.3828125" style="378" hidden="1" customWidth="1"/>
    <col min="22" max="23" width="0" style="378" hidden="1" customWidth="1"/>
    <col min="24" max="25" width="8.84375" style="387" hidden="1" customWidth="1"/>
    <col min="26" max="26" width="8.84375" style="378" hidden="1" customWidth="1"/>
    <col min="27" max="27" width="17.84375" style="378" customWidth="1"/>
    <col min="28" max="16384" width="9.15234375" style="378"/>
  </cols>
  <sheetData>
    <row r="1" spans="1:27" ht="20.25" customHeight="1">
      <c r="A1" s="1901" t="s">
        <v>2198</v>
      </c>
      <c r="B1" s="1901"/>
      <c r="C1" s="1901"/>
      <c r="D1" s="1901"/>
      <c r="E1" s="1901"/>
      <c r="F1" s="1901"/>
      <c r="G1" s="1901"/>
      <c r="H1" s="1901"/>
      <c r="I1" s="2071"/>
      <c r="J1" s="2071"/>
      <c r="K1" s="2071"/>
      <c r="L1" s="2071"/>
      <c r="M1" s="2071"/>
      <c r="N1" s="609"/>
      <c r="O1" s="609"/>
      <c r="P1" s="609"/>
      <c r="Q1" s="609"/>
      <c r="R1" s="610"/>
      <c r="S1" s="610"/>
      <c r="T1" s="610"/>
      <c r="U1" s="609"/>
      <c r="X1" s="378"/>
      <c r="Y1" s="378"/>
    </row>
    <row r="2" spans="1:27" s="371" customFormat="1" ht="21" customHeight="1">
      <c r="A2" s="1867" t="s">
        <v>2655</v>
      </c>
      <c r="B2" s="1867"/>
      <c r="C2" s="1867"/>
      <c r="D2" s="1867"/>
      <c r="E2" s="1867"/>
      <c r="F2" s="1867"/>
      <c r="G2" s="1867"/>
      <c r="H2" s="1867"/>
      <c r="I2" s="1867"/>
      <c r="J2" s="1867"/>
      <c r="K2" s="1867"/>
      <c r="L2" s="1867"/>
      <c r="M2" s="1867"/>
      <c r="N2" s="1867"/>
      <c r="O2" s="1867"/>
      <c r="P2" s="1867"/>
      <c r="Q2" s="1867"/>
      <c r="R2" s="1867"/>
      <c r="S2" s="1867"/>
      <c r="T2" s="1867"/>
      <c r="U2" s="1867"/>
    </row>
    <row r="3" spans="1:27" s="371" customFormat="1" ht="10.5" customHeight="1">
      <c r="A3" s="604" t="str">
        <f>A14</f>
        <v>08.01.01.(T)</v>
      </c>
      <c r="B3" s="1867" t="str">
        <f>B14</f>
        <v>Mažinti aplinkos užterštumą ir gerinti vandens telkinių, bendro naudojimo ir kitų teritorijų būklę</v>
      </c>
      <c r="C3" s="1867"/>
      <c r="D3" s="1867"/>
      <c r="E3" s="1867"/>
      <c r="F3" s="1867"/>
      <c r="G3" s="1867"/>
      <c r="H3" s="1867"/>
      <c r="I3" s="1867"/>
      <c r="J3" s="1867"/>
      <c r="K3" s="1867"/>
      <c r="L3" s="1867"/>
      <c r="M3" s="1867"/>
      <c r="N3" s="1867"/>
      <c r="O3" s="1867"/>
      <c r="P3" s="1867"/>
      <c r="Q3" s="1867"/>
      <c r="R3" s="1867"/>
      <c r="S3" s="1867"/>
      <c r="T3" s="1867"/>
      <c r="U3" s="1867"/>
    </row>
    <row r="4" spans="1:27" s="371" customFormat="1" ht="12.75" customHeight="1">
      <c r="A4" s="604" t="str">
        <f>A63</f>
        <v>08.01.02. (T)</v>
      </c>
      <c r="B4" s="1867" t="str">
        <f>B63</f>
        <v>Įgyvendinti Lietuvos Respublikos geriamojo vandens tiekimo ir nuotekų tvarkymo įstatymo nuostatas</v>
      </c>
      <c r="C4" s="1867"/>
      <c r="D4" s="1867"/>
      <c r="E4" s="1867"/>
      <c r="F4" s="1867"/>
      <c r="G4" s="1867"/>
      <c r="H4" s="1867"/>
      <c r="I4" s="1867"/>
      <c r="J4" s="1867"/>
      <c r="K4" s="1867"/>
      <c r="L4" s="1867"/>
      <c r="M4" s="1867"/>
      <c r="N4" s="1867"/>
      <c r="O4" s="1867"/>
      <c r="P4" s="1867"/>
      <c r="Q4" s="1867"/>
      <c r="R4" s="1867"/>
      <c r="S4" s="1867"/>
      <c r="T4" s="1867"/>
      <c r="U4" s="1867"/>
    </row>
    <row r="5" spans="1:27" s="371" customFormat="1" ht="11.25" customHeight="1">
      <c r="A5" s="604" t="str">
        <f>A82</f>
        <v>08.01.03. (T)</v>
      </c>
      <c r="B5" s="1867" t="str">
        <f>B82</f>
        <v>Įgyvendinti Lietuvos Respublikos triukšmo valdymo įstatymo nuostatas</v>
      </c>
      <c r="C5" s="1867"/>
      <c r="D5" s="1867"/>
      <c r="E5" s="1867"/>
      <c r="F5" s="1867"/>
      <c r="G5" s="1867"/>
      <c r="H5" s="1867"/>
      <c r="I5" s="1867"/>
      <c r="J5" s="1867"/>
      <c r="K5" s="1867"/>
      <c r="L5" s="1867"/>
      <c r="M5" s="1867"/>
      <c r="N5" s="1867"/>
      <c r="O5" s="1867"/>
      <c r="P5" s="1867"/>
      <c r="Q5" s="1867"/>
      <c r="R5" s="1867"/>
      <c r="S5" s="1867"/>
      <c r="T5" s="1867"/>
      <c r="U5" s="1867"/>
    </row>
    <row r="6" spans="1:27" s="371" customFormat="1" ht="13.5" customHeight="1">
      <c r="A6" s="604" t="str">
        <f>A85</f>
        <v>08.01.04. (T)</v>
      </c>
      <c r="B6" s="1867" t="str">
        <f>B85</f>
        <v>Įgyvendinti Lietuvos Respublikos gyvūnų gerovės ir apsaugos įstatymo nuostatas</v>
      </c>
      <c r="C6" s="1867"/>
      <c r="D6" s="1867"/>
      <c r="E6" s="1867"/>
      <c r="F6" s="1867"/>
      <c r="G6" s="1867"/>
      <c r="H6" s="1867"/>
      <c r="I6" s="1867"/>
      <c r="J6" s="1867"/>
      <c r="K6" s="1867"/>
      <c r="L6" s="1867"/>
      <c r="M6" s="1867"/>
      <c r="N6" s="1867"/>
      <c r="O6" s="1867"/>
      <c r="P6" s="1867"/>
      <c r="Q6" s="1867"/>
      <c r="R6" s="1867"/>
      <c r="S6" s="1867"/>
      <c r="T6" s="1867"/>
      <c r="U6" s="374"/>
    </row>
    <row r="7" spans="1:27" s="371" customFormat="1" ht="26.25" customHeight="1">
      <c r="A7" s="604" t="str">
        <f>A89</f>
        <v>08.01.05. (T)</v>
      </c>
      <c r="B7" s="1867" t="str">
        <f>B89</f>
        <v>Išsaugoti, formuoti etalonines kraštovaizdžio teritorijas, gerinti ekologinę būklę gamtinio karkaso teritorijose</v>
      </c>
      <c r="C7" s="1867"/>
      <c r="D7" s="1867"/>
      <c r="E7" s="1867"/>
      <c r="F7" s="1867"/>
      <c r="G7" s="1867"/>
      <c r="H7" s="1867"/>
      <c r="I7" s="1867"/>
      <c r="J7" s="1867"/>
      <c r="K7" s="1867"/>
      <c r="L7" s="1867"/>
      <c r="M7" s="1867"/>
      <c r="N7" s="1867"/>
      <c r="O7" s="1867"/>
      <c r="P7" s="1867"/>
      <c r="Q7" s="1867"/>
      <c r="R7" s="1867"/>
      <c r="S7" s="1867"/>
      <c r="T7" s="1867"/>
      <c r="U7" s="374"/>
    </row>
    <row r="8" spans="1:27" s="371" customFormat="1" ht="17.25" customHeight="1">
      <c r="A8" s="1867" t="s">
        <v>3012</v>
      </c>
      <c r="B8" s="1867"/>
      <c r="C8" s="1867"/>
      <c r="D8" s="1867"/>
      <c r="E8" s="1867"/>
      <c r="F8" s="1867"/>
      <c r="G8" s="1867"/>
      <c r="H8" s="1867"/>
      <c r="I8" s="1867"/>
      <c r="J8" s="1867"/>
      <c r="K8" s="1867"/>
      <c r="L8" s="1867"/>
      <c r="M8" s="1867"/>
      <c r="N8" s="448"/>
      <c r="O8" s="448"/>
      <c r="P8" s="448"/>
      <c r="Q8" s="448"/>
      <c r="R8" s="448"/>
      <c r="S8" s="448"/>
      <c r="T8" s="448"/>
      <c r="U8" s="374"/>
    </row>
    <row r="9" spans="1:27" ht="43.95" customHeight="1">
      <c r="A9" s="1867" t="s">
        <v>2738</v>
      </c>
      <c r="B9" s="1867"/>
      <c r="C9" s="1867"/>
      <c r="D9" s="1867"/>
      <c r="E9" s="1867"/>
      <c r="F9" s="1867"/>
      <c r="G9" s="1867"/>
      <c r="H9" s="1867"/>
      <c r="I9" s="1867"/>
      <c r="J9" s="1867"/>
      <c r="K9" s="1867"/>
      <c r="L9" s="1867"/>
      <c r="M9" s="1867"/>
      <c r="N9" s="1867"/>
      <c r="O9" s="1867"/>
      <c r="P9" s="1867"/>
      <c r="Q9" s="1867"/>
      <c r="R9" s="1867"/>
      <c r="S9" s="1867"/>
      <c r="T9" s="1867"/>
      <c r="U9" s="611"/>
      <c r="X9" s="378"/>
      <c r="Y9" s="378"/>
    </row>
    <row r="10" spans="1:27">
      <c r="A10" s="449"/>
      <c r="B10" s="449"/>
      <c r="C10" s="449"/>
      <c r="D10" s="449"/>
      <c r="E10" s="449"/>
      <c r="F10" s="449"/>
      <c r="G10" s="449"/>
      <c r="H10" s="449"/>
      <c r="I10" s="449"/>
      <c r="J10" s="449"/>
      <c r="K10" s="449"/>
      <c r="L10" s="449"/>
      <c r="M10" s="1489"/>
      <c r="N10" s="449"/>
      <c r="O10" s="449"/>
      <c r="P10" s="449"/>
      <c r="Q10" s="449"/>
      <c r="R10" s="612"/>
      <c r="S10" s="612"/>
      <c r="T10" s="612"/>
      <c r="U10" s="449"/>
      <c r="X10" s="378"/>
      <c r="Y10" s="378"/>
    </row>
    <row r="11" spans="1:27">
      <c r="A11" s="2073" t="s">
        <v>3701</v>
      </c>
      <c r="B11" s="2073"/>
      <c r="C11" s="2073"/>
      <c r="D11" s="2073"/>
      <c r="E11" s="2073"/>
      <c r="F11" s="2073"/>
      <c r="G11" s="2073"/>
      <c r="H11" s="2073"/>
      <c r="I11" s="2073"/>
      <c r="J11" s="2073"/>
      <c r="K11" s="2073"/>
      <c r="L11" s="2073"/>
      <c r="M11" s="1489"/>
      <c r="N11" s="449"/>
      <c r="O11" s="449"/>
      <c r="P11" s="449"/>
      <c r="Q11" s="449"/>
      <c r="R11" s="612"/>
      <c r="S11" s="612"/>
      <c r="T11" s="612"/>
      <c r="U11" s="449"/>
      <c r="X11" s="378"/>
      <c r="Y11" s="378"/>
    </row>
    <row r="12" spans="1:27" ht="50.5" customHeight="1">
      <c r="A12" s="1681" t="s">
        <v>994</v>
      </c>
      <c r="B12" s="1681" t="s">
        <v>1933</v>
      </c>
      <c r="C12" s="2086" t="s">
        <v>1318</v>
      </c>
      <c r="D12" s="2079" t="s">
        <v>1319</v>
      </c>
      <c r="E12" s="1847" t="s">
        <v>2857</v>
      </c>
      <c r="F12" s="1784" t="s">
        <v>2874</v>
      </c>
      <c r="G12" s="1784" t="s">
        <v>2858</v>
      </c>
      <c r="H12" s="1784" t="s">
        <v>2859</v>
      </c>
      <c r="I12" s="1847" t="s">
        <v>2080</v>
      </c>
      <c r="J12" s="1784" t="s">
        <v>1949</v>
      </c>
      <c r="K12" s="1950" t="s">
        <v>2004</v>
      </c>
      <c r="L12" s="2083" t="s">
        <v>1969</v>
      </c>
      <c r="M12" s="2081" t="s">
        <v>2750</v>
      </c>
      <c r="N12" s="1684" t="s">
        <v>2861</v>
      </c>
      <c r="O12" s="1681" t="s">
        <v>2864</v>
      </c>
      <c r="P12" s="1846" t="s">
        <v>2865</v>
      </c>
      <c r="Q12" s="1846"/>
      <c r="R12" s="1846" t="s">
        <v>995</v>
      </c>
      <c r="S12" s="1846"/>
      <c r="T12" s="1846"/>
      <c r="U12" s="1680" t="s">
        <v>996</v>
      </c>
      <c r="X12" s="378"/>
      <c r="Y12" s="378"/>
      <c r="AA12" s="1681" t="s">
        <v>3733</v>
      </c>
    </row>
    <row r="13" spans="1:27" ht="53.25" customHeight="1">
      <c r="A13" s="1952"/>
      <c r="B13" s="1952"/>
      <c r="C13" s="2087"/>
      <c r="D13" s="1947"/>
      <c r="E13" s="1847"/>
      <c r="F13" s="1785"/>
      <c r="G13" s="1785"/>
      <c r="H13" s="1785"/>
      <c r="I13" s="1784"/>
      <c r="J13" s="2088"/>
      <c r="K13" s="2085"/>
      <c r="L13" s="2084"/>
      <c r="M13" s="2081"/>
      <c r="N13" s="2082"/>
      <c r="O13" s="1952"/>
      <c r="P13" s="453" t="s">
        <v>2862</v>
      </c>
      <c r="Q13" s="453" t="s">
        <v>2863</v>
      </c>
      <c r="R13" s="453">
        <v>2024</v>
      </c>
      <c r="S13" s="453">
        <v>2025</v>
      </c>
      <c r="T13" s="453">
        <v>2026</v>
      </c>
      <c r="U13" s="1905"/>
      <c r="X13" s="378"/>
      <c r="Y13" s="378"/>
      <c r="AA13" s="1682"/>
    </row>
    <row r="14" spans="1:27" s="460" customFormat="1" ht="48.65" customHeight="1">
      <c r="A14" s="501" t="s">
        <v>2081</v>
      </c>
      <c r="B14" s="496" t="s">
        <v>1464</v>
      </c>
      <c r="C14" s="501"/>
      <c r="D14" s="501"/>
      <c r="E14" s="515">
        <f>SUM(E18,E20,E22,E24,E28,E30,E34,E37,E42,E46,E49,E56,E59,E62)</f>
        <v>3774.1850000000004</v>
      </c>
      <c r="F14" s="515">
        <f>SUM(F18,F20,F22,G24,F28,F30,F34,F37,F42,F46,F49,F56,F59,F62)</f>
        <v>3619.4450000000006</v>
      </c>
      <c r="G14" s="515">
        <f t="shared" ref="G14" si="0">SUM(G18,G20,G22,H24,G28,G30,G34,G37,G42,G46,G49,G56,G59,G62)</f>
        <v>1384.8888784388391</v>
      </c>
      <c r="H14" s="516">
        <f>G14/F14</f>
        <v>0.38262465058561157</v>
      </c>
      <c r="I14" s="502">
        <f t="shared" ref="I14:K14" si="1">SUM(I18,I20,I22,I24,I28,I30,I34,I37,I42,I46,I49,I56,I59,I62)</f>
        <v>4134.2490000000007</v>
      </c>
      <c r="J14" s="502">
        <f t="shared" si="1"/>
        <v>5427.8550000000005</v>
      </c>
      <c r="K14" s="502">
        <f t="shared" si="1"/>
        <v>4646.2170000000006</v>
      </c>
      <c r="L14" s="501" t="s">
        <v>2416</v>
      </c>
      <c r="M14" s="2067"/>
      <c r="N14" s="2000"/>
      <c r="O14" s="2000"/>
      <c r="P14" s="2000"/>
      <c r="Q14" s="2000"/>
      <c r="R14" s="2000"/>
      <c r="S14" s="2000"/>
      <c r="T14" s="2000"/>
      <c r="U14" s="2000"/>
      <c r="V14" s="2000"/>
      <c r="W14" s="2000"/>
      <c r="X14" s="2000"/>
      <c r="Y14" s="2000"/>
      <c r="Z14" s="2000"/>
      <c r="AA14" s="2000"/>
    </row>
    <row r="15" spans="1:27" ht="34.200000000000003" customHeight="1">
      <c r="A15" s="1767" t="s">
        <v>2082</v>
      </c>
      <c r="B15" s="1769" t="s">
        <v>1658</v>
      </c>
      <c r="C15" s="1957">
        <v>188711925</v>
      </c>
      <c r="D15" s="659" t="s">
        <v>668</v>
      </c>
      <c r="E15" s="1204">
        <v>10</v>
      </c>
      <c r="F15" s="1204">
        <v>8.3000000000000007</v>
      </c>
      <c r="G15" s="1204">
        <v>0</v>
      </c>
      <c r="H15" s="1256">
        <f>G15/F15</f>
        <v>0</v>
      </c>
      <c r="I15" s="734">
        <v>5</v>
      </c>
      <c r="J15" s="734">
        <v>5</v>
      </c>
      <c r="K15" s="734">
        <v>5</v>
      </c>
      <c r="L15" s="1701" t="s">
        <v>2417</v>
      </c>
      <c r="M15" s="2080" t="s">
        <v>3680</v>
      </c>
      <c r="N15" s="1868" t="s">
        <v>731</v>
      </c>
      <c r="O15" s="1868" t="s">
        <v>2525</v>
      </c>
      <c r="P15" s="1870" t="s">
        <v>1606</v>
      </c>
      <c r="Q15" s="1870" t="s">
        <v>3004</v>
      </c>
      <c r="R15" s="1639" t="s">
        <v>1606</v>
      </c>
      <c r="S15" s="1639" t="s">
        <v>1606</v>
      </c>
      <c r="T15" s="1639" t="s">
        <v>1606</v>
      </c>
      <c r="U15" s="1638" t="s">
        <v>2438</v>
      </c>
      <c r="V15" s="1200"/>
      <c r="W15" s="1200"/>
      <c r="X15" s="1200"/>
      <c r="Y15" s="1200"/>
      <c r="Z15" s="1200"/>
      <c r="AA15" s="1991" t="s">
        <v>3544</v>
      </c>
    </row>
    <row r="16" spans="1:27" ht="39.65" customHeight="1">
      <c r="A16" s="1803"/>
      <c r="B16" s="1736"/>
      <c r="C16" s="1737"/>
      <c r="D16" s="656" t="s">
        <v>3300</v>
      </c>
      <c r="E16" s="1222">
        <v>14.183999999999999</v>
      </c>
      <c r="F16" s="1222">
        <v>14.183999999999999</v>
      </c>
      <c r="G16" s="1222">
        <v>10.106</v>
      </c>
      <c r="H16" s="1282">
        <f>G16/F16</f>
        <v>0.71249294980259448</v>
      </c>
      <c r="I16" s="701">
        <v>0</v>
      </c>
      <c r="J16" s="1310">
        <v>10</v>
      </c>
      <c r="K16" s="1311">
        <v>10</v>
      </c>
      <c r="L16" s="1882"/>
      <c r="M16" s="1888"/>
      <c r="N16" s="1869"/>
      <c r="O16" s="1869"/>
      <c r="P16" s="1870"/>
      <c r="Q16" s="1870"/>
      <c r="R16" s="1646"/>
      <c r="S16" s="1646"/>
      <c r="T16" s="1646"/>
      <c r="U16" s="1638"/>
      <c r="V16" s="1200"/>
      <c r="W16" s="1200"/>
      <c r="X16" s="1200"/>
      <c r="Y16" s="1200"/>
      <c r="Z16" s="1200"/>
      <c r="AA16" s="1992"/>
    </row>
    <row r="17" spans="1:27" ht="39.65" hidden="1" customHeight="1">
      <c r="A17" s="1803"/>
      <c r="B17" s="1736"/>
      <c r="C17" s="1737"/>
      <c r="D17" s="656" t="s">
        <v>2850</v>
      </c>
      <c r="E17" s="1222"/>
      <c r="F17" s="1222"/>
      <c r="G17" s="1222"/>
      <c r="H17" s="1282"/>
      <c r="I17" s="701">
        <v>10.426</v>
      </c>
      <c r="J17" s="742"/>
      <c r="K17" s="1311"/>
      <c r="L17" s="1882"/>
      <c r="M17" s="1888"/>
      <c r="N17" s="1869"/>
      <c r="O17" s="1869"/>
      <c r="P17" s="1870"/>
      <c r="Q17" s="1870"/>
      <c r="R17" s="1646"/>
      <c r="S17" s="1646"/>
      <c r="T17" s="1646"/>
      <c r="U17" s="1638"/>
      <c r="V17" s="1200"/>
      <c r="W17" s="1200"/>
      <c r="X17" s="1200"/>
      <c r="Y17" s="1200"/>
      <c r="Z17" s="1200"/>
      <c r="AA17" s="1992"/>
    </row>
    <row r="18" spans="1:27" ht="30.75" customHeight="1">
      <c r="A18" s="1803"/>
      <c r="B18" s="1736"/>
      <c r="C18" s="1737"/>
      <c r="D18" s="705" t="s">
        <v>1321</v>
      </c>
      <c r="E18" s="1207">
        <f>SUM(E15:E16)</f>
        <v>24.183999999999997</v>
      </c>
      <c r="F18" s="1207">
        <f t="shared" ref="F18:H18" si="2">SUM(F15:F16)</f>
        <v>22.484000000000002</v>
      </c>
      <c r="G18" s="1207">
        <f t="shared" si="2"/>
        <v>10.106</v>
      </c>
      <c r="H18" s="1257">
        <f t="shared" si="2"/>
        <v>0.71249294980259448</v>
      </c>
      <c r="I18" s="706">
        <f>SUM(I15:I17)</f>
        <v>15.426</v>
      </c>
      <c r="J18" s="706">
        <f t="shared" ref="J18:K18" si="3">SUM(J15:J16)</f>
        <v>15</v>
      </c>
      <c r="K18" s="706">
        <f t="shared" si="3"/>
        <v>15</v>
      </c>
      <c r="L18" s="1882"/>
      <c r="M18" s="1888"/>
      <c r="N18" s="1869"/>
      <c r="O18" s="1869"/>
      <c r="P18" s="1868"/>
      <c r="Q18" s="1868"/>
      <c r="R18" s="1646"/>
      <c r="S18" s="1646"/>
      <c r="T18" s="1646"/>
      <c r="U18" s="1638"/>
      <c r="V18" s="1200"/>
      <c r="W18" s="1200"/>
      <c r="X18" s="1200"/>
      <c r="Y18" s="1200"/>
      <c r="Z18" s="1200"/>
      <c r="AA18" s="1993"/>
    </row>
    <row r="19" spans="1:27" ht="79.2" customHeight="1">
      <c r="A19" s="1767" t="s">
        <v>2083</v>
      </c>
      <c r="B19" s="1769" t="s">
        <v>1465</v>
      </c>
      <c r="C19" s="1957" t="s">
        <v>1401</v>
      </c>
      <c r="D19" s="659" t="s">
        <v>668</v>
      </c>
      <c r="E19" s="1204">
        <v>1381.7</v>
      </c>
      <c r="F19" s="1204">
        <v>1368.827</v>
      </c>
      <c r="G19" s="1204">
        <v>1280.8140000000001</v>
      </c>
      <c r="H19" s="1256">
        <f t="shared" ref="H19:H26" si="4">G19/F19</f>
        <v>0.93570188197631998</v>
      </c>
      <c r="I19" s="734">
        <v>1345</v>
      </c>
      <c r="J19" s="734">
        <v>1483.08</v>
      </c>
      <c r="K19" s="734">
        <v>1483.08</v>
      </c>
      <c r="L19" s="1882"/>
      <c r="M19" s="1887" t="s">
        <v>3681</v>
      </c>
      <c r="N19" s="1868" t="s">
        <v>733</v>
      </c>
      <c r="O19" s="1868" t="s">
        <v>1741</v>
      </c>
      <c r="P19" s="1871" t="s">
        <v>2387</v>
      </c>
      <c r="Q19" s="1871" t="s">
        <v>3005</v>
      </c>
      <c r="R19" s="1639" t="s">
        <v>449</v>
      </c>
      <c r="S19" s="1639" t="s">
        <v>1740</v>
      </c>
      <c r="T19" s="1639" t="s">
        <v>1740</v>
      </c>
      <c r="U19" s="1638"/>
      <c r="V19" s="1200"/>
      <c r="W19" s="1200"/>
      <c r="X19" s="1200"/>
      <c r="Y19" s="1200"/>
      <c r="Z19" s="1200"/>
      <c r="AA19" s="1991" t="s">
        <v>3544</v>
      </c>
    </row>
    <row r="20" spans="1:27" ht="117.75" customHeight="1">
      <c r="A20" s="1803"/>
      <c r="B20" s="1736"/>
      <c r="C20" s="1737"/>
      <c r="D20" s="705" t="s">
        <v>1321</v>
      </c>
      <c r="E20" s="1207">
        <f>SUM(E19:E19)</f>
        <v>1381.7</v>
      </c>
      <c r="F20" s="1207">
        <f t="shared" ref="F20:G20" si="5">SUM(F19:F19)</f>
        <v>1368.827</v>
      </c>
      <c r="G20" s="1207">
        <f t="shared" si="5"/>
        <v>1280.8140000000001</v>
      </c>
      <c r="H20" s="1257">
        <f t="shared" si="4"/>
        <v>0.93570188197631998</v>
      </c>
      <c r="I20" s="706">
        <f t="shared" ref="I20:K20" si="6">SUM(I19:I19)</f>
        <v>1345</v>
      </c>
      <c r="J20" s="706">
        <f t="shared" si="6"/>
        <v>1483.08</v>
      </c>
      <c r="K20" s="706">
        <f t="shared" si="6"/>
        <v>1483.08</v>
      </c>
      <c r="L20" s="1702"/>
      <c r="M20" s="1888"/>
      <c r="N20" s="1869"/>
      <c r="O20" s="1869"/>
      <c r="P20" s="1868"/>
      <c r="Q20" s="1868"/>
      <c r="R20" s="1646"/>
      <c r="S20" s="1646"/>
      <c r="T20" s="1646"/>
      <c r="U20" s="1639"/>
      <c r="V20" s="1200"/>
      <c r="W20" s="1200"/>
      <c r="X20" s="1200"/>
      <c r="Y20" s="1200"/>
      <c r="Z20" s="1200"/>
      <c r="AA20" s="1993"/>
    </row>
    <row r="21" spans="1:27" ht="41.5" customHeight="1">
      <c r="A21" s="1803" t="s">
        <v>2084</v>
      </c>
      <c r="B21" s="1791" t="s">
        <v>1466</v>
      </c>
      <c r="C21" s="1935">
        <v>188711925</v>
      </c>
      <c r="D21" s="724" t="s">
        <v>668</v>
      </c>
      <c r="E21" s="1222">
        <v>21.805</v>
      </c>
      <c r="F21" s="1222">
        <v>20.004999999999999</v>
      </c>
      <c r="G21" s="1222">
        <v>20</v>
      </c>
      <c r="H21" s="1282">
        <f t="shared" si="4"/>
        <v>0.99975006248437892</v>
      </c>
      <c r="I21" s="701">
        <v>30</v>
      </c>
      <c r="J21" s="1310">
        <v>20</v>
      </c>
      <c r="K21" s="1311">
        <v>20</v>
      </c>
      <c r="L21" s="1701" t="s">
        <v>2420</v>
      </c>
      <c r="M21" s="2068" t="s">
        <v>3448</v>
      </c>
      <c r="N21" s="1868" t="s">
        <v>488</v>
      </c>
      <c r="O21" s="1868" t="s">
        <v>3006</v>
      </c>
      <c r="P21" s="1871" t="s">
        <v>469</v>
      </c>
      <c r="Q21" s="1871" t="s">
        <v>469</v>
      </c>
      <c r="R21" s="1639" t="s">
        <v>1742</v>
      </c>
      <c r="S21" s="1639" t="s">
        <v>1743</v>
      </c>
      <c r="T21" s="1639" t="s">
        <v>1743</v>
      </c>
      <c r="U21" s="1637" t="s">
        <v>2421</v>
      </c>
      <c r="V21" s="1200"/>
      <c r="W21" s="1200"/>
      <c r="X21" s="1200"/>
      <c r="Y21" s="1200"/>
      <c r="Z21" s="1200"/>
      <c r="AA21" s="1991" t="s">
        <v>3544</v>
      </c>
    </row>
    <row r="22" spans="1:27" ht="40.5" customHeight="1">
      <c r="A22" s="1803"/>
      <c r="B22" s="1791"/>
      <c r="C22" s="1935"/>
      <c r="D22" s="727" t="s">
        <v>1321</v>
      </c>
      <c r="E22" s="1207">
        <f>E21</f>
        <v>21.805</v>
      </c>
      <c r="F22" s="1207">
        <f t="shared" ref="F22:G22" si="7">F21</f>
        <v>20.004999999999999</v>
      </c>
      <c r="G22" s="1207">
        <f t="shared" si="7"/>
        <v>20</v>
      </c>
      <c r="H22" s="1257">
        <f t="shared" si="4"/>
        <v>0.99975006248437892</v>
      </c>
      <c r="I22" s="706">
        <f t="shared" ref="I22:K22" si="8">I21</f>
        <v>30</v>
      </c>
      <c r="J22" s="706">
        <f t="shared" si="8"/>
        <v>20</v>
      </c>
      <c r="K22" s="1312">
        <f t="shared" si="8"/>
        <v>20</v>
      </c>
      <c r="L22" s="1882"/>
      <c r="M22" s="2070"/>
      <c r="N22" s="1869"/>
      <c r="O22" s="1869"/>
      <c r="P22" s="1868"/>
      <c r="Q22" s="1868"/>
      <c r="R22" s="1646"/>
      <c r="S22" s="1646"/>
      <c r="T22" s="1646"/>
      <c r="U22" s="1638"/>
      <c r="V22" s="1200"/>
      <c r="W22" s="1200"/>
      <c r="X22" s="1200"/>
      <c r="Y22" s="1200"/>
      <c r="Z22" s="1200"/>
      <c r="AA22" s="1993"/>
    </row>
    <row r="23" spans="1:27" ht="40.950000000000003" customHeight="1">
      <c r="A23" s="1803" t="s">
        <v>2085</v>
      </c>
      <c r="B23" s="1889" t="s">
        <v>248</v>
      </c>
      <c r="C23" s="1935">
        <v>188711925</v>
      </c>
      <c r="D23" s="724" t="s">
        <v>668</v>
      </c>
      <c r="E23" s="1222">
        <v>1873.38</v>
      </c>
      <c r="F23" s="1222">
        <v>1906.53</v>
      </c>
      <c r="G23" s="1222">
        <v>1891.046</v>
      </c>
      <c r="H23" s="1282">
        <f t="shared" si="4"/>
        <v>0.99187843883914761</v>
      </c>
      <c r="I23" s="701">
        <f>1791.76+300-0.1</f>
        <v>2091.6600000000003</v>
      </c>
      <c r="J23" s="1310">
        <v>2124.4090000000001</v>
      </c>
      <c r="K23" s="1310">
        <v>2124.4090000000001</v>
      </c>
      <c r="L23" s="1882"/>
      <c r="M23" s="2068" t="s">
        <v>3682</v>
      </c>
      <c r="N23" s="1868" t="s">
        <v>489</v>
      </c>
      <c r="O23" s="1868" t="s">
        <v>3014</v>
      </c>
      <c r="P23" s="1871" t="s">
        <v>1922</v>
      </c>
      <c r="Q23" s="1871" t="s">
        <v>1922</v>
      </c>
      <c r="R23" s="1637" t="s">
        <v>1673</v>
      </c>
      <c r="S23" s="1637" t="s">
        <v>1673</v>
      </c>
      <c r="T23" s="1637" t="s">
        <v>1673</v>
      </c>
      <c r="U23" s="1638"/>
      <c r="V23" s="1200"/>
      <c r="W23" s="1200"/>
      <c r="X23" s="1200"/>
      <c r="Y23" s="1200"/>
      <c r="Z23" s="1200"/>
      <c r="AA23" s="1991" t="s">
        <v>3544</v>
      </c>
    </row>
    <row r="24" spans="1:27" ht="135.75" customHeight="1">
      <c r="A24" s="1803"/>
      <c r="B24" s="1890"/>
      <c r="C24" s="1936"/>
      <c r="D24" s="730" t="s">
        <v>1321</v>
      </c>
      <c r="E24" s="1262">
        <f>SUM(E23)</f>
        <v>1873.38</v>
      </c>
      <c r="F24" s="1262">
        <f t="shared" ref="F24:G24" si="9">SUM(F23)</f>
        <v>1906.53</v>
      </c>
      <c r="G24" s="1262">
        <f t="shared" si="9"/>
        <v>1891.046</v>
      </c>
      <c r="H24" s="1313">
        <f t="shared" si="4"/>
        <v>0.99187843883914761</v>
      </c>
      <c r="I24" s="731">
        <f t="shared" ref="I24:K24" si="10">SUM(I23)</f>
        <v>2091.6600000000003</v>
      </c>
      <c r="J24" s="731">
        <f t="shared" si="10"/>
        <v>2124.4090000000001</v>
      </c>
      <c r="K24" s="731">
        <f t="shared" si="10"/>
        <v>2124.4090000000001</v>
      </c>
      <c r="L24" s="1702"/>
      <c r="M24" s="2069"/>
      <c r="N24" s="1869"/>
      <c r="O24" s="1869"/>
      <c r="P24" s="1868"/>
      <c r="Q24" s="1868"/>
      <c r="R24" s="1639"/>
      <c r="S24" s="1639"/>
      <c r="T24" s="1639"/>
      <c r="U24" s="1639"/>
      <c r="V24" s="1200"/>
      <c r="W24" s="1200"/>
      <c r="X24" s="1200"/>
      <c r="Y24" s="1200"/>
      <c r="Z24" s="1200"/>
      <c r="AA24" s="1993"/>
    </row>
    <row r="25" spans="1:27" ht="39" customHeight="1">
      <c r="A25" s="1803" t="s">
        <v>2086</v>
      </c>
      <c r="B25" s="1791" t="s">
        <v>1467</v>
      </c>
      <c r="C25" s="1935">
        <v>188711925</v>
      </c>
      <c r="D25" s="724" t="s">
        <v>668</v>
      </c>
      <c r="E25" s="701">
        <v>34.5</v>
      </c>
      <c r="F25" s="701">
        <v>33</v>
      </c>
      <c r="G25" s="701">
        <v>26.25</v>
      </c>
      <c r="H25" s="702">
        <f t="shared" si="4"/>
        <v>0.79545454545454541</v>
      </c>
      <c r="I25" s="701">
        <v>34</v>
      </c>
      <c r="J25" s="1314">
        <v>34</v>
      </c>
      <c r="K25" s="701">
        <v>34</v>
      </c>
      <c r="L25" s="1701" t="s">
        <v>2422</v>
      </c>
      <c r="M25" s="1887" t="s">
        <v>3008</v>
      </c>
      <c r="N25" s="1868" t="s">
        <v>589</v>
      </c>
      <c r="O25" s="1868" t="s">
        <v>3527</v>
      </c>
      <c r="P25" s="1871" t="s">
        <v>3007</v>
      </c>
      <c r="Q25" s="1871" t="s">
        <v>3007</v>
      </c>
      <c r="R25" s="1637" t="s">
        <v>1531</v>
      </c>
      <c r="S25" s="1637" t="s">
        <v>1531</v>
      </c>
      <c r="T25" s="1637" t="s">
        <v>1531</v>
      </c>
      <c r="U25" s="1637" t="s">
        <v>2423</v>
      </c>
      <c r="V25" s="1200"/>
      <c r="W25" s="1200"/>
      <c r="X25" s="1200"/>
      <c r="Y25" s="1200"/>
      <c r="Z25" s="1200"/>
      <c r="AA25" s="1991" t="s">
        <v>3544</v>
      </c>
    </row>
    <row r="26" spans="1:27" ht="31.2" customHeight="1">
      <c r="A26" s="1803"/>
      <c r="B26" s="1836"/>
      <c r="C26" s="1936"/>
      <c r="D26" s="656" t="s">
        <v>3300</v>
      </c>
      <c r="E26" s="798">
        <v>14.82</v>
      </c>
      <c r="F26" s="798">
        <v>14.82</v>
      </c>
      <c r="G26" s="798">
        <v>14.811</v>
      </c>
      <c r="H26" s="763">
        <f t="shared" si="4"/>
        <v>0.99939271255060724</v>
      </c>
      <c r="I26" s="798">
        <f>24-3.4</f>
        <v>20.6</v>
      </c>
      <c r="J26" s="701">
        <v>17</v>
      </c>
      <c r="K26" s="701">
        <v>17</v>
      </c>
      <c r="L26" s="1882"/>
      <c r="M26" s="1888"/>
      <c r="N26" s="1868"/>
      <c r="O26" s="1868"/>
      <c r="P26" s="1870"/>
      <c r="Q26" s="1870"/>
      <c r="R26" s="1638"/>
      <c r="S26" s="1638"/>
      <c r="T26" s="1638"/>
      <c r="U26" s="1638"/>
      <c r="V26" s="1200"/>
      <c r="W26" s="1200"/>
      <c r="X26" s="1200"/>
      <c r="Y26" s="1200"/>
      <c r="Z26" s="1200"/>
      <c r="AA26" s="1992"/>
    </row>
    <row r="27" spans="1:27" ht="31.2" hidden="1" customHeight="1">
      <c r="A27" s="1803"/>
      <c r="B27" s="1836"/>
      <c r="C27" s="1936"/>
      <c r="D27" s="1136" t="s">
        <v>2850</v>
      </c>
      <c r="E27" s="798"/>
      <c r="F27" s="798"/>
      <c r="G27" s="798"/>
      <c r="H27" s="798"/>
      <c r="I27" s="798">
        <v>3.4</v>
      </c>
      <c r="J27" s="701"/>
      <c r="K27" s="798"/>
      <c r="L27" s="1882"/>
      <c r="M27" s="1888"/>
      <c r="N27" s="1868"/>
      <c r="O27" s="1868"/>
      <c r="P27" s="1870"/>
      <c r="Q27" s="1870"/>
      <c r="R27" s="1638"/>
      <c r="S27" s="1638"/>
      <c r="T27" s="1638"/>
      <c r="U27" s="1638"/>
      <c r="V27" s="1200"/>
      <c r="W27" s="1200"/>
      <c r="X27" s="1200"/>
      <c r="Y27" s="1200"/>
      <c r="Z27" s="1200"/>
      <c r="AA27" s="1992"/>
    </row>
    <row r="28" spans="1:27" ht="44.25" customHeight="1">
      <c r="A28" s="1803"/>
      <c r="B28" s="1836"/>
      <c r="C28" s="1936"/>
      <c r="D28" s="730" t="s">
        <v>1321</v>
      </c>
      <c r="E28" s="731">
        <f>SUM(E25:E26)</f>
        <v>49.32</v>
      </c>
      <c r="F28" s="731">
        <f t="shared" ref="F28:G28" si="11">SUM(F25:F26)</f>
        <v>47.82</v>
      </c>
      <c r="G28" s="731">
        <f t="shared" si="11"/>
        <v>41.061</v>
      </c>
      <c r="H28" s="746">
        <f>G28/F28</f>
        <v>0.85865746549560851</v>
      </c>
      <c r="I28" s="731">
        <f>SUM(I25:I27)</f>
        <v>58</v>
      </c>
      <c r="J28" s="731">
        <f>SUM(J25:J26)</f>
        <v>51</v>
      </c>
      <c r="K28" s="731">
        <f t="shared" ref="K28" si="12">SUM(K25:K26)</f>
        <v>51</v>
      </c>
      <c r="L28" s="1702"/>
      <c r="M28" s="1888"/>
      <c r="N28" s="1869"/>
      <c r="O28" s="1869"/>
      <c r="P28" s="1868"/>
      <c r="Q28" s="1868"/>
      <c r="R28" s="1639"/>
      <c r="S28" s="1639"/>
      <c r="T28" s="1639"/>
      <c r="U28" s="1639"/>
      <c r="V28" s="1200"/>
      <c r="W28" s="1200"/>
      <c r="X28" s="1200"/>
      <c r="Y28" s="1200"/>
      <c r="Z28" s="1200"/>
      <c r="AA28" s="1993"/>
    </row>
    <row r="29" spans="1:27" ht="41.5" customHeight="1">
      <c r="A29" s="1803" t="s">
        <v>2087</v>
      </c>
      <c r="B29" s="1889" t="s">
        <v>1468</v>
      </c>
      <c r="C29" s="1935">
        <v>188711925</v>
      </c>
      <c r="D29" s="724" t="s">
        <v>668</v>
      </c>
      <c r="E29" s="701">
        <v>0</v>
      </c>
      <c r="F29" s="701"/>
      <c r="G29" s="701"/>
      <c r="H29" s="701"/>
      <c r="I29" s="701">
        <f>20+24</f>
        <v>44</v>
      </c>
      <c r="J29" s="1310">
        <v>60</v>
      </c>
      <c r="K29" s="701">
        <v>60</v>
      </c>
      <c r="L29" s="1701" t="s">
        <v>2424</v>
      </c>
      <c r="M29" s="1887" t="s">
        <v>3683</v>
      </c>
      <c r="N29" s="1868" t="s">
        <v>46</v>
      </c>
      <c r="O29" s="1868" t="s">
        <v>3009</v>
      </c>
      <c r="P29" s="1871" t="s">
        <v>612</v>
      </c>
      <c r="Q29" s="1871" t="s">
        <v>469</v>
      </c>
      <c r="R29" s="1637" t="s">
        <v>209</v>
      </c>
      <c r="S29" s="1637" t="s">
        <v>209</v>
      </c>
      <c r="T29" s="1637" t="s">
        <v>566</v>
      </c>
      <c r="U29" s="1637" t="s">
        <v>2425</v>
      </c>
      <c r="V29" s="1200"/>
      <c r="W29" s="1200"/>
      <c r="X29" s="1200"/>
      <c r="Y29" s="1200"/>
      <c r="Z29" s="1200"/>
      <c r="AA29" s="1991" t="s">
        <v>3545</v>
      </c>
    </row>
    <row r="30" spans="1:27" ht="75" customHeight="1">
      <c r="A30" s="1803"/>
      <c r="B30" s="1890"/>
      <c r="C30" s="1936"/>
      <c r="D30" s="730" t="s">
        <v>1321</v>
      </c>
      <c r="E30" s="731">
        <f>E29</f>
        <v>0</v>
      </c>
      <c r="F30" s="731"/>
      <c r="G30" s="731"/>
      <c r="H30" s="731"/>
      <c r="I30" s="731">
        <f t="shared" ref="I30:K30" si="13">I29</f>
        <v>44</v>
      </c>
      <c r="J30" s="731">
        <f t="shared" si="13"/>
        <v>60</v>
      </c>
      <c r="K30" s="706">
        <f t="shared" si="13"/>
        <v>60</v>
      </c>
      <c r="L30" s="1702"/>
      <c r="M30" s="1888"/>
      <c r="N30" s="1869"/>
      <c r="O30" s="1869"/>
      <c r="P30" s="1868"/>
      <c r="Q30" s="1868"/>
      <c r="R30" s="1639"/>
      <c r="S30" s="1639"/>
      <c r="T30" s="1639"/>
      <c r="U30" s="1639"/>
      <c r="V30" s="1200"/>
      <c r="W30" s="1200"/>
      <c r="X30" s="1200"/>
      <c r="Y30" s="1200"/>
      <c r="Z30" s="1200"/>
      <c r="AA30" s="1993"/>
    </row>
    <row r="31" spans="1:27" ht="34.200000000000003" customHeight="1">
      <c r="A31" s="1803" t="s">
        <v>2088</v>
      </c>
      <c r="B31" s="1791" t="s">
        <v>2774</v>
      </c>
      <c r="C31" s="1935">
        <v>188711925</v>
      </c>
      <c r="D31" s="724" t="s">
        <v>66</v>
      </c>
      <c r="E31" s="701">
        <v>15.795</v>
      </c>
      <c r="F31" s="701">
        <v>15.795</v>
      </c>
      <c r="G31" s="701">
        <v>0</v>
      </c>
      <c r="H31" s="701">
        <f>G31/F31</f>
        <v>0</v>
      </c>
      <c r="I31" s="701">
        <v>120.605</v>
      </c>
      <c r="J31" s="1314">
        <v>31.507000000000001</v>
      </c>
      <c r="K31" s="701">
        <v>13.503</v>
      </c>
      <c r="L31" s="1701" t="s">
        <v>2426</v>
      </c>
      <c r="M31" s="1887" t="s">
        <v>3779</v>
      </c>
      <c r="N31" s="1868" t="s">
        <v>102</v>
      </c>
      <c r="O31" s="1871" t="s">
        <v>1618</v>
      </c>
      <c r="P31" s="1871" t="s">
        <v>613</v>
      </c>
      <c r="Q31" s="1871" t="s">
        <v>613</v>
      </c>
      <c r="R31" s="817" t="s">
        <v>613</v>
      </c>
      <c r="S31" s="817" t="s">
        <v>613</v>
      </c>
      <c r="T31" s="817" t="s">
        <v>1789</v>
      </c>
      <c r="U31" s="1871" t="s">
        <v>2427</v>
      </c>
      <c r="V31" s="819"/>
      <c r="W31" s="819"/>
      <c r="X31" s="819"/>
      <c r="Y31" s="819"/>
      <c r="Z31" s="819"/>
      <c r="AA31" s="1881" t="s">
        <v>3626</v>
      </c>
    </row>
    <row r="32" spans="1:27" ht="46.2" hidden="1" customHeight="1">
      <c r="A32" s="1803"/>
      <c r="B32" s="1836"/>
      <c r="C32" s="1936"/>
      <c r="D32" s="1136" t="s">
        <v>341</v>
      </c>
      <c r="E32" s="798"/>
      <c r="F32" s="798"/>
      <c r="G32" s="798"/>
      <c r="H32" s="1315"/>
      <c r="I32" s="798"/>
      <c r="J32" s="701">
        <v>178.542</v>
      </c>
      <c r="K32" s="701">
        <v>76.518000000000001</v>
      </c>
      <c r="L32" s="1882"/>
      <c r="M32" s="1888"/>
      <c r="N32" s="1868"/>
      <c r="O32" s="1870"/>
      <c r="P32" s="1870"/>
      <c r="Q32" s="1870"/>
      <c r="R32" s="817" t="s">
        <v>613</v>
      </c>
      <c r="S32" s="817" t="s">
        <v>613</v>
      </c>
      <c r="T32" s="817" t="s">
        <v>1791</v>
      </c>
      <c r="U32" s="1870"/>
      <c r="V32" s="819"/>
      <c r="W32" s="819"/>
      <c r="X32" s="819"/>
      <c r="Y32" s="819"/>
      <c r="Z32" s="819"/>
      <c r="AA32" s="1879"/>
    </row>
    <row r="33" spans="1:27" ht="37.950000000000003" hidden="1" customHeight="1">
      <c r="A33" s="1803"/>
      <c r="B33" s="1836"/>
      <c r="C33" s="1936"/>
      <c r="D33" s="1136" t="s">
        <v>1349</v>
      </c>
      <c r="E33" s="798"/>
      <c r="F33" s="798"/>
      <c r="G33" s="798"/>
      <c r="H33" s="798"/>
      <c r="I33" s="798"/>
      <c r="J33" s="701"/>
      <c r="K33" s="701"/>
      <c r="L33" s="1882"/>
      <c r="M33" s="1888"/>
      <c r="N33" s="1868"/>
      <c r="O33" s="1870"/>
      <c r="P33" s="1870"/>
      <c r="Q33" s="1870"/>
      <c r="R33" s="817" t="s">
        <v>613</v>
      </c>
      <c r="S33" s="817" t="s">
        <v>613</v>
      </c>
      <c r="T33" s="817" t="s">
        <v>469</v>
      </c>
      <c r="U33" s="1870"/>
      <c r="V33" s="819"/>
      <c r="W33" s="819"/>
      <c r="X33" s="819"/>
      <c r="Y33" s="819"/>
      <c r="Z33" s="819"/>
      <c r="AA33" s="1879"/>
    </row>
    <row r="34" spans="1:27" ht="146.5" customHeight="1">
      <c r="A34" s="1803"/>
      <c r="B34" s="1836"/>
      <c r="C34" s="1936"/>
      <c r="D34" s="730" t="s">
        <v>1321</v>
      </c>
      <c r="E34" s="731">
        <f>SUM(E31:E33)</f>
        <v>15.795</v>
      </c>
      <c r="F34" s="731">
        <f t="shared" ref="F34:H34" si="14">SUM(F31:F33)</f>
        <v>15.795</v>
      </c>
      <c r="G34" s="731">
        <f t="shared" si="14"/>
        <v>0</v>
      </c>
      <c r="H34" s="731">
        <f t="shared" si="14"/>
        <v>0</v>
      </c>
      <c r="I34" s="731">
        <f t="shared" ref="I34:K34" si="15">SUM(I31:I33)</f>
        <v>120.605</v>
      </c>
      <c r="J34" s="731">
        <f t="shared" si="15"/>
        <v>210.04900000000001</v>
      </c>
      <c r="K34" s="731">
        <f t="shared" si="15"/>
        <v>90.021000000000001</v>
      </c>
      <c r="L34" s="1702"/>
      <c r="M34" s="1888"/>
      <c r="N34" s="1869"/>
      <c r="O34" s="1868"/>
      <c r="P34" s="1868"/>
      <c r="Q34" s="1868"/>
      <c r="R34" s="817" t="s">
        <v>1773</v>
      </c>
      <c r="S34" s="817" t="s">
        <v>613</v>
      </c>
      <c r="T34" s="817" t="s">
        <v>613</v>
      </c>
      <c r="U34" s="1868"/>
      <c r="V34" s="819"/>
      <c r="W34" s="819"/>
      <c r="X34" s="819"/>
      <c r="Y34" s="819"/>
      <c r="Z34" s="819"/>
      <c r="AA34" s="1880"/>
    </row>
    <row r="35" spans="1:27" ht="28.2" customHeight="1">
      <c r="A35" s="1803" t="s">
        <v>2089</v>
      </c>
      <c r="B35" s="1791" t="s">
        <v>3780</v>
      </c>
      <c r="C35" s="1935">
        <v>188711925</v>
      </c>
      <c r="D35" s="724" t="s">
        <v>668</v>
      </c>
      <c r="E35" s="1220"/>
      <c r="F35" s="1220"/>
      <c r="G35" s="1220"/>
      <c r="H35" s="1220"/>
      <c r="I35" s="701">
        <v>25</v>
      </c>
      <c r="J35" s="1310">
        <v>40</v>
      </c>
      <c r="K35" s="701">
        <v>40</v>
      </c>
      <c r="L35" s="1701" t="s">
        <v>2420</v>
      </c>
      <c r="M35" s="1887" t="s">
        <v>3684</v>
      </c>
      <c r="N35" s="1868" t="s">
        <v>103</v>
      </c>
      <c r="O35" s="1868" t="s">
        <v>927</v>
      </c>
      <c r="P35" s="1871" t="s">
        <v>205</v>
      </c>
      <c r="Q35" s="1871" t="s">
        <v>6</v>
      </c>
      <c r="R35" s="1871" t="s">
        <v>205</v>
      </c>
      <c r="S35" s="1871" t="s">
        <v>205</v>
      </c>
      <c r="T35" s="1871" t="s">
        <v>205</v>
      </c>
      <c r="U35" s="1871" t="s">
        <v>2421</v>
      </c>
      <c r="V35" s="819"/>
      <c r="W35" s="819"/>
      <c r="X35" s="819"/>
      <c r="Y35" s="819"/>
      <c r="Z35" s="819"/>
      <c r="AA35" s="1991" t="s">
        <v>3544</v>
      </c>
    </row>
    <row r="36" spans="1:27" ht="35.25" customHeight="1">
      <c r="A36" s="1803"/>
      <c r="B36" s="1836"/>
      <c r="C36" s="1936"/>
      <c r="D36" s="656" t="s">
        <v>3300</v>
      </c>
      <c r="E36" s="1260">
        <v>12.627000000000001</v>
      </c>
      <c r="F36" s="1260">
        <v>21.327000000000002</v>
      </c>
      <c r="G36" s="1260">
        <v>12.817</v>
      </c>
      <c r="H36" s="1316">
        <f>G36/F36</f>
        <v>0.60097528953908186</v>
      </c>
      <c r="I36" s="798">
        <v>18</v>
      </c>
      <c r="J36" s="742"/>
      <c r="K36" s="701"/>
      <c r="L36" s="1882"/>
      <c r="M36" s="1888"/>
      <c r="N36" s="1868"/>
      <c r="O36" s="1868"/>
      <c r="P36" s="1870"/>
      <c r="Q36" s="1870"/>
      <c r="R36" s="1870"/>
      <c r="S36" s="1870"/>
      <c r="T36" s="1870"/>
      <c r="U36" s="1870"/>
      <c r="V36" s="819"/>
      <c r="W36" s="819"/>
      <c r="X36" s="819"/>
      <c r="Y36" s="819"/>
      <c r="Z36" s="819"/>
      <c r="AA36" s="1992"/>
    </row>
    <row r="37" spans="1:27" ht="77.25" customHeight="1">
      <c r="A37" s="1803"/>
      <c r="B37" s="1836"/>
      <c r="C37" s="1936"/>
      <c r="D37" s="730" t="s">
        <v>1321</v>
      </c>
      <c r="E37" s="1262">
        <f>SUM(E35:E36)</f>
        <v>12.627000000000001</v>
      </c>
      <c r="F37" s="1262">
        <f t="shared" ref="F37:G37" si="16">SUM(F35:F36)</f>
        <v>21.327000000000002</v>
      </c>
      <c r="G37" s="1262">
        <f t="shared" si="16"/>
        <v>12.817</v>
      </c>
      <c r="H37" s="1313">
        <f>G37/F37</f>
        <v>0.60097528953908186</v>
      </c>
      <c r="I37" s="731">
        <f t="shared" ref="I37:K37" si="17">SUM(I35:I36)</f>
        <v>43</v>
      </c>
      <c r="J37" s="731">
        <f t="shared" si="17"/>
        <v>40</v>
      </c>
      <c r="K37" s="731">
        <f t="shared" si="17"/>
        <v>40</v>
      </c>
      <c r="L37" s="1702"/>
      <c r="M37" s="1888"/>
      <c r="N37" s="1869"/>
      <c r="O37" s="1869"/>
      <c r="P37" s="1868"/>
      <c r="Q37" s="1868"/>
      <c r="R37" s="1868"/>
      <c r="S37" s="1868"/>
      <c r="T37" s="1868"/>
      <c r="U37" s="1868"/>
      <c r="V37" s="819"/>
      <c r="W37" s="819"/>
      <c r="X37" s="819"/>
      <c r="Y37" s="819"/>
      <c r="Z37" s="819"/>
      <c r="AA37" s="1993"/>
    </row>
    <row r="38" spans="1:27" ht="20.149999999999999" hidden="1" customHeight="1">
      <c r="A38" s="1803" t="s">
        <v>565</v>
      </c>
      <c r="B38" s="1889" t="s">
        <v>1469</v>
      </c>
      <c r="C38" s="1935">
        <v>188711925</v>
      </c>
      <c r="D38" s="724" t="s">
        <v>668</v>
      </c>
      <c r="E38" s="1220"/>
      <c r="F38" s="1220"/>
      <c r="G38" s="1220"/>
      <c r="H38" s="1220"/>
      <c r="I38" s="701"/>
      <c r="J38" s="1310"/>
      <c r="K38" s="1311"/>
      <c r="L38" s="1317"/>
      <c r="M38" s="1640"/>
      <c r="N38" s="1933" t="s">
        <v>1669</v>
      </c>
      <c r="O38" s="1933"/>
      <c r="P38" s="747"/>
      <c r="Q38" s="747"/>
      <c r="R38" s="1933"/>
      <c r="S38" s="1933"/>
      <c r="T38" s="1933"/>
      <c r="U38" s="1174"/>
      <c r="V38" s="1200"/>
      <c r="W38" s="1200"/>
      <c r="X38" s="1200"/>
      <c r="Y38" s="1200"/>
      <c r="Z38" s="1200"/>
      <c r="AA38" s="1189"/>
    </row>
    <row r="39" spans="1:27" ht="146.25" hidden="1" customHeight="1">
      <c r="A39" s="1803"/>
      <c r="B39" s="1889"/>
      <c r="C39" s="1935"/>
      <c r="D39" s="727" t="s">
        <v>1321</v>
      </c>
      <c r="E39" s="1225">
        <f>E38</f>
        <v>0</v>
      </c>
      <c r="F39" s="1225"/>
      <c r="G39" s="1225"/>
      <c r="H39" s="1225"/>
      <c r="I39" s="706">
        <f t="shared" ref="I39:K39" si="18">I38</f>
        <v>0</v>
      </c>
      <c r="J39" s="706">
        <f t="shared" si="18"/>
        <v>0</v>
      </c>
      <c r="K39" s="1312">
        <f t="shared" si="18"/>
        <v>0</v>
      </c>
      <c r="L39" s="1318"/>
      <c r="M39" s="1708"/>
      <c r="N39" s="2059"/>
      <c r="O39" s="2059"/>
      <c r="P39" s="1168"/>
      <c r="Q39" s="1168"/>
      <c r="R39" s="2059"/>
      <c r="S39" s="2059"/>
      <c r="T39" s="2059"/>
      <c r="U39" s="1174"/>
      <c r="V39" s="1200"/>
      <c r="W39" s="1200"/>
      <c r="X39" s="1200"/>
      <c r="Y39" s="1200"/>
      <c r="Z39" s="1200"/>
      <c r="AA39" s="1189"/>
    </row>
    <row r="40" spans="1:27" ht="24" customHeight="1">
      <c r="A40" s="1803" t="s">
        <v>2090</v>
      </c>
      <c r="B40" s="1791" t="s">
        <v>1470</v>
      </c>
      <c r="C40" s="1935" t="s">
        <v>1325</v>
      </c>
      <c r="D40" s="724" t="s">
        <v>668</v>
      </c>
      <c r="E40" s="1220"/>
      <c r="F40" s="1220"/>
      <c r="G40" s="1220"/>
      <c r="H40" s="1220"/>
      <c r="I40" s="701"/>
      <c r="J40" s="1310">
        <v>1</v>
      </c>
      <c r="K40" s="1311">
        <v>1</v>
      </c>
      <c r="L40" s="1701" t="s">
        <v>2424</v>
      </c>
      <c r="M40" s="2068" t="s">
        <v>3725</v>
      </c>
      <c r="N40" s="1868" t="s">
        <v>3442</v>
      </c>
      <c r="O40" s="1868" t="s">
        <v>1739</v>
      </c>
      <c r="P40" s="1871" t="s">
        <v>1540</v>
      </c>
      <c r="Q40" s="1871" t="s">
        <v>1540</v>
      </c>
      <c r="R40" s="1871" t="s">
        <v>1568</v>
      </c>
      <c r="S40" s="1871" t="s">
        <v>1568</v>
      </c>
      <c r="T40" s="1871" t="s">
        <v>1568</v>
      </c>
      <c r="U40" s="1871" t="s">
        <v>2425</v>
      </c>
      <c r="V40" s="819"/>
      <c r="W40" s="819"/>
      <c r="X40" s="819"/>
      <c r="Y40" s="819"/>
      <c r="Z40" s="819"/>
      <c r="AA40" s="1881" t="s">
        <v>3544</v>
      </c>
    </row>
    <row r="41" spans="1:27" ht="29.25" customHeight="1">
      <c r="A41" s="1803"/>
      <c r="B41" s="1836"/>
      <c r="C41" s="1936"/>
      <c r="D41" s="656" t="s">
        <v>3300</v>
      </c>
      <c r="E41" s="1260">
        <v>2</v>
      </c>
      <c r="F41" s="1260">
        <v>2.9</v>
      </c>
      <c r="G41" s="1260">
        <v>2.4529999999999998</v>
      </c>
      <c r="H41" s="1316">
        <f>G41/F41</f>
        <v>0.84586206896551719</v>
      </c>
      <c r="I41" s="798">
        <v>2</v>
      </c>
      <c r="J41" s="1314">
        <v>2</v>
      </c>
      <c r="K41" s="1317">
        <v>2</v>
      </c>
      <c r="L41" s="1882"/>
      <c r="M41" s="1913"/>
      <c r="N41" s="1868"/>
      <c r="O41" s="1868"/>
      <c r="P41" s="1870"/>
      <c r="Q41" s="1870"/>
      <c r="R41" s="1870"/>
      <c r="S41" s="1870"/>
      <c r="T41" s="1870"/>
      <c r="U41" s="1870"/>
      <c r="V41" s="819"/>
      <c r="W41" s="819"/>
      <c r="X41" s="819"/>
      <c r="Y41" s="819"/>
      <c r="Z41" s="819"/>
      <c r="AA41" s="1879"/>
    </row>
    <row r="42" spans="1:27" ht="136.94999999999999" customHeight="1">
      <c r="A42" s="1803"/>
      <c r="B42" s="1836"/>
      <c r="C42" s="1936"/>
      <c r="D42" s="730" t="s">
        <v>1321</v>
      </c>
      <c r="E42" s="1262">
        <f>SUM(E40:E41,)</f>
        <v>2</v>
      </c>
      <c r="F42" s="1262">
        <f t="shared" ref="F42:G42" si="19">SUM(F40:F41,)</f>
        <v>2.9</v>
      </c>
      <c r="G42" s="1262">
        <f t="shared" si="19"/>
        <v>2.4529999999999998</v>
      </c>
      <c r="H42" s="1313">
        <f>G42/F42</f>
        <v>0.84586206896551719</v>
      </c>
      <c r="I42" s="731">
        <f t="shared" ref="I42:K42" si="20">SUM(I40:I41,)</f>
        <v>2</v>
      </c>
      <c r="J42" s="731">
        <f t="shared" si="20"/>
        <v>3</v>
      </c>
      <c r="K42" s="731">
        <f t="shared" si="20"/>
        <v>3</v>
      </c>
      <c r="L42" s="1702"/>
      <c r="M42" s="2070"/>
      <c r="N42" s="1869"/>
      <c r="O42" s="1869"/>
      <c r="P42" s="1868"/>
      <c r="Q42" s="1868"/>
      <c r="R42" s="1868"/>
      <c r="S42" s="1868"/>
      <c r="T42" s="1868"/>
      <c r="U42" s="1868"/>
      <c r="V42" s="819"/>
      <c r="W42" s="819"/>
      <c r="X42" s="819"/>
      <c r="Y42" s="819"/>
      <c r="Z42" s="819"/>
      <c r="AA42" s="1880"/>
    </row>
    <row r="43" spans="1:27" ht="26.5" customHeight="1">
      <c r="A43" s="1803" t="s">
        <v>2091</v>
      </c>
      <c r="B43" s="1791" t="s">
        <v>1471</v>
      </c>
      <c r="C43" s="1935">
        <v>188711925</v>
      </c>
      <c r="D43" s="724" t="s">
        <v>668</v>
      </c>
      <c r="E43" s="1220"/>
      <c r="F43" s="1220"/>
      <c r="G43" s="1220"/>
      <c r="H43" s="1220"/>
      <c r="I43" s="798"/>
      <c r="J43" s="1314"/>
      <c r="K43" s="798"/>
      <c r="L43" s="1701" t="s">
        <v>2428</v>
      </c>
      <c r="M43" s="1887" t="s">
        <v>3449</v>
      </c>
      <c r="N43" s="1868" t="s">
        <v>3443</v>
      </c>
      <c r="O43" s="1868" t="s">
        <v>1670</v>
      </c>
      <c r="P43" s="1871" t="s">
        <v>469</v>
      </c>
      <c r="Q43" s="1871" t="s">
        <v>469</v>
      </c>
      <c r="R43" s="1871" t="s">
        <v>469</v>
      </c>
      <c r="S43" s="1871" t="s">
        <v>469</v>
      </c>
      <c r="T43" s="1871" t="s">
        <v>469</v>
      </c>
      <c r="U43" s="1871" t="s">
        <v>2421</v>
      </c>
      <c r="V43" s="819"/>
      <c r="W43" s="819"/>
      <c r="X43" s="819"/>
      <c r="Y43" s="819"/>
      <c r="Z43" s="819"/>
      <c r="AA43" s="1881" t="s">
        <v>3544</v>
      </c>
    </row>
    <row r="44" spans="1:27" ht="29.25" customHeight="1">
      <c r="A44" s="1803"/>
      <c r="B44" s="1836"/>
      <c r="C44" s="1936"/>
      <c r="D44" s="656" t="s">
        <v>3300</v>
      </c>
      <c r="E44" s="1260">
        <v>4.798</v>
      </c>
      <c r="F44" s="1260">
        <v>4.798</v>
      </c>
      <c r="G44" s="1260">
        <v>1.292</v>
      </c>
      <c r="H44" s="1316">
        <f>G44/F44</f>
        <v>0.26927886619424762</v>
      </c>
      <c r="I44" s="701">
        <f>5.87-3.37</f>
        <v>2.5</v>
      </c>
      <c r="J44" s="701">
        <v>4.5</v>
      </c>
      <c r="K44" s="701">
        <v>4.5</v>
      </c>
      <c r="L44" s="1882"/>
      <c r="M44" s="1888"/>
      <c r="N44" s="1868"/>
      <c r="O44" s="1868"/>
      <c r="P44" s="1870"/>
      <c r="Q44" s="1870"/>
      <c r="R44" s="1870"/>
      <c r="S44" s="1870"/>
      <c r="T44" s="1870"/>
      <c r="U44" s="1870"/>
      <c r="V44" s="819"/>
      <c r="W44" s="819"/>
      <c r="X44" s="819"/>
      <c r="Y44" s="819"/>
      <c r="Z44" s="819"/>
      <c r="AA44" s="1879"/>
    </row>
    <row r="45" spans="1:27" ht="30" hidden="1" customHeight="1">
      <c r="A45" s="1803"/>
      <c r="B45" s="1836"/>
      <c r="C45" s="1936"/>
      <c r="D45" s="1136" t="s">
        <v>2851</v>
      </c>
      <c r="E45" s="1260"/>
      <c r="F45" s="1260"/>
      <c r="G45" s="1260"/>
      <c r="H45" s="1316"/>
      <c r="I45" s="1044">
        <v>3.37</v>
      </c>
      <c r="J45" s="742"/>
      <c r="K45" s="1044"/>
      <c r="L45" s="1882"/>
      <c r="M45" s="1888"/>
      <c r="N45" s="1868"/>
      <c r="O45" s="1868"/>
      <c r="P45" s="1870"/>
      <c r="Q45" s="1870"/>
      <c r="R45" s="1870"/>
      <c r="S45" s="1870"/>
      <c r="T45" s="1870"/>
      <c r="U45" s="1870"/>
      <c r="V45" s="819"/>
      <c r="W45" s="819"/>
      <c r="X45" s="819"/>
      <c r="Y45" s="819"/>
      <c r="Z45" s="819"/>
      <c r="AA45" s="1879"/>
    </row>
    <row r="46" spans="1:27" ht="41.5" customHeight="1">
      <c r="A46" s="1765"/>
      <c r="B46" s="1836"/>
      <c r="C46" s="1936"/>
      <c r="D46" s="730" t="s">
        <v>1321</v>
      </c>
      <c r="E46" s="1262">
        <f>SUM(E43:E44)</f>
        <v>4.798</v>
      </c>
      <c r="F46" s="1262">
        <f t="shared" ref="F46:G46" si="21">SUM(F43:F44)</f>
        <v>4.798</v>
      </c>
      <c r="G46" s="1262">
        <f t="shared" si="21"/>
        <v>1.292</v>
      </c>
      <c r="H46" s="1313">
        <f>G46/F46</f>
        <v>0.26927886619424762</v>
      </c>
      <c r="I46" s="731">
        <f>SUM(I43:I45)</f>
        <v>5.87</v>
      </c>
      <c r="J46" s="731">
        <f t="shared" ref="J46:K46" si="22">SUM(J43:J44)</f>
        <v>4.5</v>
      </c>
      <c r="K46" s="731">
        <f t="shared" si="22"/>
        <v>4.5</v>
      </c>
      <c r="L46" s="1702"/>
      <c r="M46" s="1888"/>
      <c r="N46" s="1869"/>
      <c r="O46" s="1869"/>
      <c r="P46" s="1868"/>
      <c r="Q46" s="1868"/>
      <c r="R46" s="1868"/>
      <c r="S46" s="1868"/>
      <c r="T46" s="1868"/>
      <c r="U46" s="1868"/>
      <c r="V46" s="819"/>
      <c r="W46" s="819"/>
      <c r="X46" s="819"/>
      <c r="Y46" s="819"/>
      <c r="Z46" s="819"/>
      <c r="AA46" s="1880"/>
    </row>
    <row r="47" spans="1:27" ht="42" customHeight="1">
      <c r="A47" s="1816" t="s">
        <v>2092</v>
      </c>
      <c r="B47" s="1691" t="s">
        <v>1472</v>
      </c>
      <c r="C47" s="1969">
        <v>188711925</v>
      </c>
      <c r="D47" s="657" t="s">
        <v>66</v>
      </c>
      <c r="E47" s="1222">
        <v>219.44300000000001</v>
      </c>
      <c r="F47" s="1222">
        <v>219.44300000000001</v>
      </c>
      <c r="G47" s="1222">
        <v>11.103</v>
      </c>
      <c r="H47" s="1282">
        <f>G47/F47</f>
        <v>5.0596282405909507E-2</v>
      </c>
      <c r="I47" s="701">
        <f>I50+I52</f>
        <v>113.08800000000001</v>
      </c>
      <c r="J47" s="1310"/>
      <c r="K47" s="701"/>
      <c r="L47" s="1701" t="s">
        <v>2204</v>
      </c>
      <c r="M47" s="1887" t="s">
        <v>3685</v>
      </c>
      <c r="N47" s="1869" t="s">
        <v>3444</v>
      </c>
      <c r="O47" s="1869" t="s">
        <v>1671</v>
      </c>
      <c r="P47" s="1871" t="s">
        <v>612</v>
      </c>
      <c r="Q47" s="1871" t="s">
        <v>469</v>
      </c>
      <c r="R47" s="1871" t="s">
        <v>612</v>
      </c>
      <c r="S47" s="1871" t="s">
        <v>612</v>
      </c>
      <c r="T47" s="1871" t="s">
        <v>612</v>
      </c>
      <c r="U47" s="1871" t="s">
        <v>2429</v>
      </c>
      <c r="V47" s="819"/>
      <c r="W47" s="819"/>
      <c r="X47" s="819"/>
      <c r="Y47" s="819"/>
      <c r="Z47" s="819"/>
      <c r="AA47" s="1881" t="s">
        <v>3545</v>
      </c>
    </row>
    <row r="48" spans="1:27" ht="39" customHeight="1">
      <c r="A48" s="1816"/>
      <c r="B48" s="1691"/>
      <c r="C48" s="1969"/>
      <c r="D48" s="657" t="s">
        <v>587</v>
      </c>
      <c r="E48" s="1222">
        <v>164.13300000000001</v>
      </c>
      <c r="F48" s="1222"/>
      <c r="G48" s="1222"/>
      <c r="H48" s="1282"/>
      <c r="I48" s="798">
        <f>SUM(I51,I53)</f>
        <v>141.36799999999999</v>
      </c>
      <c r="J48" s="742"/>
      <c r="K48" s="701"/>
      <c r="L48" s="1882"/>
      <c r="M48" s="1888"/>
      <c r="N48" s="1869"/>
      <c r="O48" s="1869"/>
      <c r="P48" s="1870"/>
      <c r="Q48" s="1870"/>
      <c r="R48" s="1870"/>
      <c r="S48" s="1870"/>
      <c r="T48" s="1870"/>
      <c r="U48" s="1870"/>
      <c r="V48" s="819"/>
      <c r="W48" s="819"/>
      <c r="X48" s="819"/>
      <c r="Y48" s="819"/>
      <c r="Z48" s="819"/>
      <c r="AA48" s="1879"/>
    </row>
    <row r="49" spans="1:27" ht="21.65" customHeight="1">
      <c r="A49" s="1816"/>
      <c r="B49" s="1691"/>
      <c r="C49" s="1969"/>
      <c r="D49" s="705" t="s">
        <v>1321</v>
      </c>
      <c r="E49" s="1207">
        <f>SUM(E47:E48,)</f>
        <v>383.57600000000002</v>
      </c>
      <c r="F49" s="1207">
        <f t="shared" ref="F49:G49" si="23">SUM(F47:F48,)</f>
        <v>219.44300000000001</v>
      </c>
      <c r="G49" s="1207">
        <f t="shared" si="23"/>
        <v>11.103</v>
      </c>
      <c r="H49" s="1257">
        <f>G49/F49</f>
        <v>5.0596282405909507E-2</v>
      </c>
      <c r="I49" s="731">
        <f>I47+I48</f>
        <v>254.45600000000002</v>
      </c>
      <c r="J49" s="731">
        <f t="shared" ref="J49:K49" si="24">J47</f>
        <v>0</v>
      </c>
      <c r="K49" s="731">
        <f t="shared" si="24"/>
        <v>0</v>
      </c>
      <c r="L49" s="1882"/>
      <c r="M49" s="1888"/>
      <c r="N49" s="1869"/>
      <c r="O49" s="1869"/>
      <c r="P49" s="1868"/>
      <c r="Q49" s="1868"/>
      <c r="R49" s="1870"/>
      <c r="S49" s="1870"/>
      <c r="T49" s="1870"/>
      <c r="U49" s="1870"/>
      <c r="V49" s="819"/>
      <c r="W49" s="819"/>
      <c r="X49" s="819"/>
      <c r="Y49" s="819"/>
      <c r="Z49" s="819"/>
      <c r="AA49" s="1880"/>
    </row>
    <row r="50" spans="1:27" ht="27" hidden="1" customHeight="1">
      <c r="A50" s="2072"/>
      <c r="B50" s="2074" t="s">
        <v>715</v>
      </c>
      <c r="C50" s="473"/>
      <c r="D50" s="474" t="s">
        <v>668</v>
      </c>
      <c r="E50" s="494"/>
      <c r="F50" s="494"/>
      <c r="G50" s="494"/>
      <c r="H50" s="494"/>
      <c r="I50" s="475">
        <v>19.456</v>
      </c>
      <c r="J50" s="784"/>
      <c r="K50" s="784"/>
      <c r="L50" s="784"/>
      <c r="M50" s="1543"/>
      <c r="N50" s="823"/>
      <c r="O50" s="823"/>
      <c r="P50" s="823"/>
      <c r="Q50" s="823"/>
      <c r="R50" s="823"/>
      <c r="S50" s="823"/>
      <c r="T50" s="823"/>
      <c r="U50" s="823"/>
      <c r="V50" s="819"/>
      <c r="W50" s="819"/>
      <c r="X50" s="819"/>
      <c r="Y50" s="819"/>
      <c r="Z50" s="819"/>
      <c r="AA50" s="818"/>
    </row>
    <row r="51" spans="1:27" ht="30" hidden="1" customHeight="1">
      <c r="A51" s="2072"/>
      <c r="B51" s="2074"/>
      <c r="C51" s="473"/>
      <c r="D51" s="474" t="s">
        <v>587</v>
      </c>
      <c r="E51" s="494"/>
      <c r="F51" s="494"/>
      <c r="G51" s="494"/>
      <c r="H51" s="494"/>
      <c r="I51" s="475">
        <v>95.251000000000005</v>
      </c>
      <c r="J51" s="784"/>
      <c r="K51" s="784"/>
      <c r="L51" s="784"/>
      <c r="M51" s="1543"/>
      <c r="N51" s="823"/>
      <c r="O51" s="823"/>
      <c r="P51" s="823"/>
      <c r="Q51" s="823"/>
      <c r="R51" s="823"/>
      <c r="S51" s="823"/>
      <c r="T51" s="823"/>
      <c r="U51" s="823"/>
      <c r="V51" s="819"/>
      <c r="W51" s="819"/>
      <c r="X51" s="819"/>
      <c r="Y51" s="819"/>
      <c r="Z51" s="819"/>
      <c r="AA51" s="818"/>
    </row>
    <row r="52" spans="1:27" ht="27" hidden="1" customHeight="1">
      <c r="A52" s="2072"/>
      <c r="B52" s="2074" t="s">
        <v>2585</v>
      </c>
      <c r="C52" s="473"/>
      <c r="D52" s="474" t="s">
        <v>668</v>
      </c>
      <c r="E52" s="494"/>
      <c r="F52" s="494"/>
      <c r="G52" s="494">
        <v>11.103</v>
      </c>
      <c r="H52" s="494"/>
      <c r="I52" s="475">
        <f>25.907+21.608+46.117</f>
        <v>93.632000000000005</v>
      </c>
      <c r="J52" s="784"/>
      <c r="K52" s="784"/>
      <c r="L52" s="784"/>
      <c r="M52" s="1544"/>
      <c r="N52" s="823"/>
      <c r="O52" s="823"/>
      <c r="P52" s="823"/>
      <c r="Q52" s="823"/>
      <c r="R52" s="823"/>
      <c r="S52" s="823"/>
      <c r="T52" s="823"/>
      <c r="U52" s="823"/>
      <c r="V52" s="819"/>
      <c r="W52" s="819"/>
      <c r="X52" s="819"/>
      <c r="Y52" s="819"/>
      <c r="Z52" s="819"/>
      <c r="AA52" s="818"/>
    </row>
    <row r="53" spans="1:27" ht="30" hidden="1" customHeight="1">
      <c r="A53" s="2072"/>
      <c r="B53" s="2074"/>
      <c r="C53" s="473"/>
      <c r="D53" s="474" t="s">
        <v>587</v>
      </c>
      <c r="E53" s="494"/>
      <c r="F53" s="494"/>
      <c r="G53" s="494"/>
      <c r="H53" s="494"/>
      <c r="I53" s="475">
        <v>46.116999999999997</v>
      </c>
      <c r="J53" s="784"/>
      <c r="K53" s="784"/>
      <c r="L53" s="784"/>
      <c r="M53" s="1543"/>
      <c r="N53" s="823"/>
      <c r="O53" s="823"/>
      <c r="P53" s="823"/>
      <c r="Q53" s="823"/>
      <c r="R53" s="823"/>
      <c r="S53" s="823"/>
      <c r="T53" s="823"/>
      <c r="U53" s="823"/>
      <c r="V53" s="819"/>
      <c r="W53" s="819"/>
      <c r="X53" s="819"/>
      <c r="Y53" s="819"/>
      <c r="Z53" s="819"/>
      <c r="AA53" s="818"/>
    </row>
    <row r="54" spans="1:27" ht="27.75" hidden="1" customHeight="1">
      <c r="A54" s="1816" t="s">
        <v>2093</v>
      </c>
      <c r="B54" s="1691" t="s">
        <v>1473</v>
      </c>
      <c r="C54" s="1969">
        <v>188711925</v>
      </c>
      <c r="D54" s="657" t="s">
        <v>668</v>
      </c>
      <c r="E54" s="1220"/>
      <c r="F54" s="1220"/>
      <c r="G54" s="1220"/>
      <c r="H54" s="1220"/>
      <c r="I54" s="701">
        <v>5</v>
      </c>
      <c r="J54" s="701">
        <v>5</v>
      </c>
      <c r="K54" s="701">
        <v>5</v>
      </c>
      <c r="L54" s="1698" t="s">
        <v>1281</v>
      </c>
      <c r="M54" s="1887" t="s">
        <v>3686</v>
      </c>
      <c r="N54" s="1869" t="s">
        <v>3445</v>
      </c>
      <c r="O54" s="1869" t="s">
        <v>3010</v>
      </c>
      <c r="P54" s="1871" t="s">
        <v>469</v>
      </c>
      <c r="Q54" s="1871" t="s">
        <v>612</v>
      </c>
      <c r="R54" s="1869" t="s">
        <v>612</v>
      </c>
      <c r="S54" s="1869" t="s">
        <v>612</v>
      </c>
      <c r="T54" s="1869" t="s">
        <v>612</v>
      </c>
      <c r="U54" s="1869" t="s">
        <v>1282</v>
      </c>
      <c r="V54" s="819"/>
      <c r="W54" s="819"/>
      <c r="X54" s="819"/>
      <c r="Y54" s="819"/>
      <c r="Z54" s="819"/>
      <c r="AA54" s="818"/>
    </row>
    <row r="55" spans="1:27" ht="33" customHeight="1">
      <c r="A55" s="1816"/>
      <c r="B55" s="1691"/>
      <c r="C55" s="1969"/>
      <c r="D55" s="656" t="s">
        <v>3300</v>
      </c>
      <c r="E55" s="1222">
        <v>5</v>
      </c>
      <c r="F55" s="1222">
        <v>5</v>
      </c>
      <c r="G55" s="1222">
        <v>4.2510000000000003</v>
      </c>
      <c r="H55" s="1282">
        <f>G55/F55</f>
        <v>0.85020000000000007</v>
      </c>
      <c r="I55" s="701">
        <v>3.8</v>
      </c>
      <c r="J55" s="701">
        <v>4</v>
      </c>
      <c r="K55" s="701">
        <v>4</v>
      </c>
      <c r="L55" s="1698"/>
      <c r="M55" s="1888"/>
      <c r="N55" s="1869"/>
      <c r="O55" s="1869"/>
      <c r="P55" s="1870"/>
      <c r="Q55" s="1870"/>
      <c r="R55" s="1869"/>
      <c r="S55" s="1869"/>
      <c r="T55" s="1869"/>
      <c r="U55" s="1869"/>
      <c r="V55" s="819"/>
      <c r="W55" s="819"/>
      <c r="X55" s="819"/>
      <c r="Y55" s="819"/>
      <c r="Z55" s="819"/>
      <c r="AA55" s="1881" t="s">
        <v>3544</v>
      </c>
    </row>
    <row r="56" spans="1:27" ht="37.5" customHeight="1">
      <c r="A56" s="1816"/>
      <c r="B56" s="1691"/>
      <c r="C56" s="1969"/>
      <c r="D56" s="705" t="s">
        <v>1321</v>
      </c>
      <c r="E56" s="1207">
        <f>SUM(E54:E55,)</f>
        <v>5</v>
      </c>
      <c r="F56" s="1207">
        <f t="shared" ref="F56:G56" si="25">SUM(F54:F55,)</f>
        <v>5</v>
      </c>
      <c r="G56" s="1207">
        <f t="shared" si="25"/>
        <v>4.2510000000000003</v>
      </c>
      <c r="H56" s="1257">
        <f>G56/F56</f>
        <v>0.85020000000000007</v>
      </c>
      <c r="I56" s="706">
        <f t="shared" ref="I56:K56" si="26">SUM(I54:I55,)</f>
        <v>8.8000000000000007</v>
      </c>
      <c r="J56" s="706">
        <f t="shared" si="26"/>
        <v>9</v>
      </c>
      <c r="K56" s="706">
        <f t="shared" si="26"/>
        <v>9</v>
      </c>
      <c r="L56" s="1698"/>
      <c r="M56" s="1888"/>
      <c r="N56" s="1869"/>
      <c r="O56" s="1869"/>
      <c r="P56" s="1868"/>
      <c r="Q56" s="1868"/>
      <c r="R56" s="1869"/>
      <c r="S56" s="1869"/>
      <c r="T56" s="1869"/>
      <c r="U56" s="1869"/>
      <c r="V56" s="819"/>
      <c r="W56" s="819"/>
      <c r="X56" s="819"/>
      <c r="Y56" s="819"/>
      <c r="Z56" s="819"/>
      <c r="AA56" s="1880"/>
    </row>
    <row r="57" spans="1:27" ht="29.25" customHeight="1">
      <c r="A57" s="1767" t="s">
        <v>2094</v>
      </c>
      <c r="B57" s="1824" t="s">
        <v>2772</v>
      </c>
      <c r="C57" s="1937">
        <v>188711925</v>
      </c>
      <c r="D57" s="733" t="s">
        <v>668</v>
      </c>
      <c r="E57" s="1206"/>
      <c r="F57" s="1206"/>
      <c r="G57" s="1206"/>
      <c r="H57" s="1206"/>
      <c r="I57" s="734"/>
      <c r="J57" s="759"/>
      <c r="K57" s="1319"/>
      <c r="L57" s="1882" t="s">
        <v>2431</v>
      </c>
      <c r="M57" s="1913" t="s">
        <v>3781</v>
      </c>
      <c r="N57" s="1868" t="s">
        <v>3446</v>
      </c>
      <c r="O57" s="1868" t="s">
        <v>1618</v>
      </c>
      <c r="P57" s="1871" t="s">
        <v>613</v>
      </c>
      <c r="Q57" s="1871" t="s">
        <v>613</v>
      </c>
      <c r="R57" s="1870" t="s">
        <v>613</v>
      </c>
      <c r="S57" s="1870" t="s">
        <v>613</v>
      </c>
      <c r="T57" s="1870" t="s">
        <v>469</v>
      </c>
      <c r="U57" s="1870" t="s">
        <v>2430</v>
      </c>
      <c r="V57" s="819"/>
      <c r="W57" s="819"/>
      <c r="X57" s="819"/>
      <c r="Y57" s="819"/>
      <c r="Z57" s="819"/>
      <c r="AA57" s="1881" t="s">
        <v>3626</v>
      </c>
    </row>
    <row r="58" spans="1:27" ht="31.5" customHeight="1">
      <c r="A58" s="1803"/>
      <c r="B58" s="1836"/>
      <c r="C58" s="1936"/>
      <c r="D58" s="1136" t="s">
        <v>341</v>
      </c>
      <c r="E58" s="1269"/>
      <c r="F58" s="1269"/>
      <c r="G58" s="1269"/>
      <c r="H58" s="1269"/>
      <c r="I58" s="798"/>
      <c r="J58" s="1314">
        <v>250</v>
      </c>
      <c r="K58" s="1317">
        <v>250</v>
      </c>
      <c r="L58" s="1882"/>
      <c r="M58" s="1913"/>
      <c r="N58" s="1868"/>
      <c r="O58" s="1868"/>
      <c r="P58" s="1870"/>
      <c r="Q58" s="1870"/>
      <c r="R58" s="1870"/>
      <c r="S58" s="1870"/>
      <c r="T58" s="1870"/>
      <c r="U58" s="1870"/>
      <c r="V58" s="819"/>
      <c r="W58" s="819"/>
      <c r="X58" s="819"/>
      <c r="Y58" s="819"/>
      <c r="Z58" s="819"/>
      <c r="AA58" s="1879"/>
    </row>
    <row r="59" spans="1:27" ht="66" customHeight="1">
      <c r="A59" s="1803"/>
      <c r="B59" s="1836"/>
      <c r="C59" s="1936"/>
      <c r="D59" s="730" t="s">
        <v>1321</v>
      </c>
      <c r="E59" s="1320"/>
      <c r="F59" s="1320"/>
      <c r="G59" s="1320"/>
      <c r="H59" s="1320"/>
      <c r="I59" s="731">
        <f t="shared" ref="I59:K59" si="27">SUM(I57:I58,)</f>
        <v>0</v>
      </c>
      <c r="J59" s="731">
        <f t="shared" si="27"/>
        <v>250</v>
      </c>
      <c r="K59" s="731">
        <f t="shared" si="27"/>
        <v>250</v>
      </c>
      <c r="L59" s="1702"/>
      <c r="M59" s="2070"/>
      <c r="N59" s="1869"/>
      <c r="O59" s="1869"/>
      <c r="P59" s="1868"/>
      <c r="Q59" s="1868"/>
      <c r="R59" s="1868"/>
      <c r="S59" s="1868"/>
      <c r="T59" s="1868"/>
      <c r="U59" s="1868"/>
      <c r="V59" s="819"/>
      <c r="W59" s="819"/>
      <c r="X59" s="819"/>
      <c r="Y59" s="819"/>
      <c r="Z59" s="819"/>
      <c r="AA59" s="1880"/>
    </row>
    <row r="60" spans="1:27" ht="52.2" hidden="1" customHeight="1">
      <c r="A60" s="1803" t="s">
        <v>2095</v>
      </c>
      <c r="B60" s="1791" t="s">
        <v>2773</v>
      </c>
      <c r="C60" s="1935">
        <v>188711925</v>
      </c>
      <c r="D60" s="724" t="s">
        <v>2751</v>
      </c>
      <c r="E60" s="1220"/>
      <c r="F60" s="1220"/>
      <c r="G60" s="1220"/>
      <c r="H60" s="1220"/>
      <c r="I60" s="701">
        <v>115.432</v>
      </c>
      <c r="J60" s="1310">
        <v>173.673</v>
      </c>
      <c r="K60" s="1311">
        <v>74.430999999999997</v>
      </c>
      <c r="L60" s="1701" t="s">
        <v>2432</v>
      </c>
      <c r="M60" s="1640" t="s">
        <v>2526</v>
      </c>
      <c r="N60" s="1637" t="s">
        <v>1793</v>
      </c>
      <c r="O60" s="527" t="s">
        <v>2775</v>
      </c>
      <c r="P60" s="527"/>
      <c r="Q60" s="527"/>
      <c r="R60" s="638" t="s">
        <v>613</v>
      </c>
      <c r="S60" s="638" t="s">
        <v>613</v>
      </c>
      <c r="T60" s="638" t="s">
        <v>1794</v>
      </c>
      <c r="U60" s="1637" t="s">
        <v>2419</v>
      </c>
      <c r="V60" s="1200"/>
      <c r="W60" s="1200"/>
      <c r="X60" s="1200"/>
      <c r="Y60" s="1200"/>
      <c r="Z60" s="1200"/>
      <c r="AA60" s="1189"/>
    </row>
    <row r="61" spans="1:27" ht="31.2" hidden="1" customHeight="1">
      <c r="A61" s="1803"/>
      <c r="B61" s="1836"/>
      <c r="C61" s="1936"/>
      <c r="D61" s="1136" t="s">
        <v>341</v>
      </c>
      <c r="E61" s="1269"/>
      <c r="F61" s="1269"/>
      <c r="G61" s="1269"/>
      <c r="H61" s="1269"/>
      <c r="I61" s="798"/>
      <c r="J61" s="1314">
        <v>984.14400000000001</v>
      </c>
      <c r="K61" s="1317">
        <v>421.77600000000001</v>
      </c>
      <c r="L61" s="1882"/>
      <c r="M61" s="1642"/>
      <c r="N61" s="1638"/>
      <c r="O61" s="527" t="s">
        <v>1790</v>
      </c>
      <c r="P61" s="527"/>
      <c r="Q61" s="527"/>
      <c r="R61" s="638" t="s">
        <v>613</v>
      </c>
      <c r="S61" s="638" t="s">
        <v>613</v>
      </c>
      <c r="T61" s="638" t="s">
        <v>1795</v>
      </c>
      <c r="U61" s="1638"/>
      <c r="V61" s="1321" t="s">
        <v>2602</v>
      </c>
      <c r="W61" s="1200"/>
      <c r="X61" s="1200"/>
      <c r="Y61" s="1200"/>
      <c r="Z61" s="1200"/>
      <c r="AA61" s="1189"/>
    </row>
    <row r="62" spans="1:27" ht="50.5" hidden="1" customHeight="1">
      <c r="A62" s="1765"/>
      <c r="B62" s="1836"/>
      <c r="C62" s="1936"/>
      <c r="D62" s="730" t="s">
        <v>1321</v>
      </c>
      <c r="E62" s="1320">
        <f>SUM(E60:E61,)</f>
        <v>0</v>
      </c>
      <c r="F62" s="1320"/>
      <c r="G62" s="1320"/>
      <c r="H62" s="1320"/>
      <c r="I62" s="731">
        <f t="shared" ref="I62:K62" si="28">SUM(I60:I61,)</f>
        <v>115.432</v>
      </c>
      <c r="J62" s="731">
        <f t="shared" si="28"/>
        <v>1157.817</v>
      </c>
      <c r="K62" s="731">
        <f t="shared" si="28"/>
        <v>496.20699999999999</v>
      </c>
      <c r="L62" s="1882"/>
      <c r="M62" s="1709"/>
      <c r="N62" s="1638"/>
      <c r="O62" s="525" t="s">
        <v>1792</v>
      </c>
      <c r="P62" s="525"/>
      <c r="Q62" s="525"/>
      <c r="R62" s="525" t="s">
        <v>613</v>
      </c>
      <c r="S62" s="525" t="s">
        <v>613</v>
      </c>
      <c r="T62" s="525" t="s">
        <v>469</v>
      </c>
      <c r="U62" s="1638"/>
      <c r="V62" s="1200"/>
      <c r="W62" s="1200"/>
      <c r="X62" s="1200"/>
      <c r="Y62" s="1200"/>
      <c r="Z62" s="1200"/>
      <c r="AA62" s="1189"/>
    </row>
    <row r="63" spans="1:27" ht="54" customHeight="1">
      <c r="A63" s="501" t="s">
        <v>2096</v>
      </c>
      <c r="B63" s="496" t="s">
        <v>1745</v>
      </c>
      <c r="C63" s="501"/>
      <c r="D63" s="501"/>
      <c r="E63" s="515">
        <f>SUM(E65)</f>
        <v>152.56</v>
      </c>
      <c r="F63" s="515">
        <f t="shared" ref="F63:G63" si="29">SUM(F65)</f>
        <v>172.32099999999997</v>
      </c>
      <c r="G63" s="515">
        <f t="shared" si="29"/>
        <v>172.28399999999996</v>
      </c>
      <c r="H63" s="516">
        <f>G63/F63</f>
        <v>0.99978528444008563</v>
      </c>
      <c r="I63" s="502">
        <f t="shared" ref="I63:K63" si="30">SUM(I65)</f>
        <v>181.87000000000003</v>
      </c>
      <c r="J63" s="502">
        <f t="shared" si="30"/>
        <v>181.68099999999998</v>
      </c>
      <c r="K63" s="502">
        <f t="shared" si="30"/>
        <v>181.71099999999998</v>
      </c>
      <c r="L63" s="501" t="s">
        <v>1265</v>
      </c>
      <c r="M63" s="2002"/>
      <c r="N63" s="2003"/>
      <c r="O63" s="2003"/>
      <c r="P63" s="2003"/>
      <c r="Q63" s="2003"/>
      <c r="R63" s="2003"/>
      <c r="S63" s="2003"/>
      <c r="T63" s="2003"/>
      <c r="U63" s="2003"/>
      <c r="V63" s="2003"/>
      <c r="W63" s="2003"/>
      <c r="X63" s="2003"/>
      <c r="Y63" s="2003"/>
      <c r="Z63" s="2003"/>
      <c r="AA63" s="2004"/>
    </row>
    <row r="64" spans="1:27" ht="32.5" customHeight="1">
      <c r="A64" s="1767" t="s">
        <v>2097</v>
      </c>
      <c r="B64" s="1895" t="s">
        <v>1474</v>
      </c>
      <c r="C64" s="1937" t="s">
        <v>1325</v>
      </c>
      <c r="D64" s="733" t="s">
        <v>668</v>
      </c>
      <c r="E64" s="1204">
        <f>SUM(E66:E81)</f>
        <v>152.56</v>
      </c>
      <c r="F64" s="1204">
        <f>SUM(F66:F81)</f>
        <v>172.32099999999997</v>
      </c>
      <c r="G64" s="1204">
        <f>SUM(G66:G81)</f>
        <v>172.28399999999996</v>
      </c>
      <c r="H64" s="1256">
        <f>G64/F64</f>
        <v>0.99978528444008563</v>
      </c>
      <c r="I64" s="734">
        <f t="shared" ref="I64:K64" si="31">SUM(I66:I81)</f>
        <v>181.87000000000003</v>
      </c>
      <c r="J64" s="734">
        <f t="shared" si="31"/>
        <v>181.68099999999998</v>
      </c>
      <c r="K64" s="734">
        <f t="shared" si="31"/>
        <v>181.71099999999998</v>
      </c>
      <c r="L64" s="1882" t="s">
        <v>2433</v>
      </c>
      <c r="M64" s="1887" t="s">
        <v>3687</v>
      </c>
      <c r="N64" s="1869" t="s">
        <v>48</v>
      </c>
      <c r="O64" s="1869" t="s">
        <v>1672</v>
      </c>
      <c r="P64" s="1869" t="s">
        <v>449</v>
      </c>
      <c r="Q64" s="1869" t="s">
        <v>449</v>
      </c>
      <c r="R64" s="1869" t="s">
        <v>1673</v>
      </c>
      <c r="S64" s="1869" t="s">
        <v>1673</v>
      </c>
      <c r="T64" s="1869" t="s">
        <v>1673</v>
      </c>
      <c r="U64" s="2078" t="s">
        <v>2434</v>
      </c>
      <c r="V64" s="818"/>
      <c r="W64" s="818"/>
      <c r="X64" s="818"/>
      <c r="Y64" s="818"/>
      <c r="Z64" s="818"/>
      <c r="AA64" s="1874" t="s">
        <v>3544</v>
      </c>
    </row>
    <row r="65" spans="1:27" ht="32.5" customHeight="1">
      <c r="A65" s="1803"/>
      <c r="B65" s="1890"/>
      <c r="C65" s="1936"/>
      <c r="D65" s="730" t="s">
        <v>1321</v>
      </c>
      <c r="E65" s="1207">
        <f>E64</f>
        <v>152.56</v>
      </c>
      <c r="F65" s="1207">
        <f t="shared" ref="F65:G65" si="32">F64</f>
        <v>172.32099999999997</v>
      </c>
      <c r="G65" s="1207">
        <f t="shared" si="32"/>
        <v>172.28399999999996</v>
      </c>
      <c r="H65" s="1257">
        <f>G65/F65</f>
        <v>0.99978528444008563</v>
      </c>
      <c r="I65" s="706">
        <f t="shared" ref="I65:K65" si="33">I64</f>
        <v>181.87000000000003</v>
      </c>
      <c r="J65" s="706">
        <f t="shared" si="33"/>
        <v>181.68099999999998</v>
      </c>
      <c r="K65" s="1312">
        <f t="shared" si="33"/>
        <v>181.71099999999998</v>
      </c>
      <c r="L65" s="1702"/>
      <c r="M65" s="1888"/>
      <c r="N65" s="1869"/>
      <c r="O65" s="1869"/>
      <c r="P65" s="1869"/>
      <c r="Q65" s="1869"/>
      <c r="R65" s="1869"/>
      <c r="S65" s="1869"/>
      <c r="T65" s="1869"/>
      <c r="U65" s="2078"/>
      <c r="V65" s="818"/>
      <c r="W65" s="818"/>
      <c r="X65" s="818"/>
      <c r="Y65" s="818"/>
      <c r="Z65" s="818"/>
      <c r="AA65" s="1874"/>
    </row>
    <row r="66" spans="1:27" ht="20.149999999999999" hidden="1" customHeight="1">
      <c r="A66" s="1322"/>
      <c r="B66" s="1323" t="s">
        <v>715</v>
      </c>
      <c r="C66" s="1324"/>
      <c r="D66" s="1048"/>
      <c r="E66" s="1325">
        <v>135.71</v>
      </c>
      <c r="F66" s="1237">
        <v>153.11000000000001</v>
      </c>
      <c r="G66" s="1237">
        <v>153.107</v>
      </c>
      <c r="H66" s="1238"/>
      <c r="I66" s="1326">
        <v>161.81</v>
      </c>
      <c r="J66" s="1326">
        <v>165</v>
      </c>
      <c r="K66" s="1327">
        <v>165</v>
      </c>
      <c r="L66" s="1326"/>
      <c r="M66" s="1545"/>
      <c r="N66" s="1328"/>
      <c r="O66" s="1329"/>
      <c r="P66" s="1329"/>
      <c r="Q66" s="1329"/>
      <c r="R66" s="884"/>
      <c r="S66" s="884"/>
      <c r="T66" s="884"/>
      <c r="U66" s="483"/>
      <c r="V66" s="1200"/>
      <c r="W66" s="1200"/>
      <c r="X66" s="1200"/>
      <c r="Y66" s="1200"/>
      <c r="Z66" s="1200"/>
      <c r="AA66" s="1187"/>
    </row>
    <row r="67" spans="1:27" ht="20.149999999999999" hidden="1" customHeight="1">
      <c r="A67" s="1322"/>
      <c r="B67" s="1323" t="s">
        <v>1659</v>
      </c>
      <c r="C67" s="1324"/>
      <c r="D67" s="1048"/>
      <c r="E67" s="1325">
        <v>1.7</v>
      </c>
      <c r="F67" s="1237">
        <v>1.915</v>
      </c>
      <c r="G67" s="1237">
        <v>1.911</v>
      </c>
      <c r="H67" s="1238"/>
      <c r="I67" s="1326">
        <v>2.02</v>
      </c>
      <c r="J67" s="1326">
        <v>2</v>
      </c>
      <c r="K67" s="1327">
        <v>2</v>
      </c>
      <c r="L67" s="1326"/>
      <c r="M67" s="1545"/>
      <c r="N67" s="1328"/>
      <c r="O67" s="1329"/>
      <c r="P67" s="1329"/>
      <c r="Q67" s="1329"/>
      <c r="R67" s="884"/>
      <c r="S67" s="884"/>
      <c r="T67" s="884"/>
      <c r="U67" s="483"/>
      <c r="V67" s="1200"/>
      <c r="W67" s="1200"/>
      <c r="X67" s="1200"/>
      <c r="Y67" s="1200"/>
      <c r="Z67" s="1200"/>
      <c r="AA67" s="1187"/>
    </row>
    <row r="68" spans="1:27" ht="20.149999999999999" hidden="1" customHeight="1">
      <c r="A68" s="1322"/>
      <c r="B68" s="1323" t="s">
        <v>1660</v>
      </c>
      <c r="C68" s="1324"/>
      <c r="D68" s="1048"/>
      <c r="E68" s="1330">
        <v>0.88</v>
      </c>
      <c r="F68" s="1331">
        <v>0.99</v>
      </c>
      <c r="G68" s="1331">
        <v>0.98899999999999999</v>
      </c>
      <c r="H68" s="1332"/>
      <c r="I68" s="1326">
        <v>1.05</v>
      </c>
      <c r="J68" s="1333">
        <v>0.88</v>
      </c>
      <c r="K68" s="1330">
        <v>0.88</v>
      </c>
      <c r="L68" s="1331"/>
      <c r="M68" s="1545"/>
      <c r="N68" s="1328"/>
      <c r="O68" s="1329"/>
      <c r="P68" s="1329"/>
      <c r="Q68" s="1329"/>
      <c r="R68" s="884"/>
      <c r="S68" s="884"/>
      <c r="T68" s="884"/>
      <c r="U68" s="483"/>
      <c r="V68" s="1200"/>
      <c r="W68" s="1200"/>
      <c r="X68" s="1200"/>
      <c r="Y68" s="1200"/>
      <c r="Z68" s="1200"/>
      <c r="AA68" s="1187"/>
    </row>
    <row r="69" spans="1:27" ht="20.149999999999999" hidden="1" customHeight="1">
      <c r="A69" s="1322"/>
      <c r="B69" s="1323" t="s">
        <v>1330</v>
      </c>
      <c r="C69" s="1324"/>
      <c r="D69" s="1048"/>
      <c r="E69" s="1325">
        <v>1.74</v>
      </c>
      <c r="F69" s="1237">
        <v>1.9550000000000001</v>
      </c>
      <c r="G69" s="1237">
        <v>1.954</v>
      </c>
      <c r="H69" s="1238"/>
      <c r="I69" s="1326">
        <v>2.0699999999999998</v>
      </c>
      <c r="J69" s="1326">
        <v>2.5</v>
      </c>
      <c r="K69" s="1327">
        <v>2.23</v>
      </c>
      <c r="L69" s="1326"/>
      <c r="M69" s="1545"/>
      <c r="N69" s="1328"/>
      <c r="O69" s="1329"/>
      <c r="P69" s="1329"/>
      <c r="Q69" s="1329"/>
      <c r="R69" s="884"/>
      <c r="S69" s="884"/>
      <c r="T69" s="884"/>
      <c r="U69" s="483"/>
      <c r="V69" s="1200"/>
      <c r="W69" s="1200"/>
      <c r="X69" s="1200"/>
      <c r="Y69" s="1200"/>
      <c r="Z69" s="1200"/>
      <c r="AA69" s="1187"/>
    </row>
    <row r="70" spans="1:27" ht="20.149999999999999" hidden="1" customHeight="1">
      <c r="A70" s="1322"/>
      <c r="B70" s="1323" t="s">
        <v>1661</v>
      </c>
      <c r="C70" s="1324"/>
      <c r="D70" s="1048"/>
      <c r="E70" s="1325">
        <v>1.9</v>
      </c>
      <c r="F70" s="1237">
        <v>2.145</v>
      </c>
      <c r="G70" s="1237">
        <v>2.14</v>
      </c>
      <c r="H70" s="1238"/>
      <c r="I70" s="1326">
        <v>2.27</v>
      </c>
      <c r="J70" s="1326">
        <v>2.4900000000000002</v>
      </c>
      <c r="K70" s="1327">
        <v>2.74</v>
      </c>
      <c r="L70" s="1326"/>
      <c r="M70" s="1545"/>
      <c r="N70" s="1328"/>
      <c r="O70" s="1329"/>
      <c r="P70" s="1329"/>
      <c r="Q70" s="1329"/>
      <c r="R70" s="884"/>
      <c r="S70" s="884"/>
      <c r="T70" s="884"/>
      <c r="U70" s="483"/>
      <c r="V70" s="1200"/>
      <c r="W70" s="1200"/>
      <c r="X70" s="1200"/>
      <c r="Y70" s="1200"/>
      <c r="Z70" s="1200"/>
      <c r="AA70" s="1187"/>
    </row>
    <row r="71" spans="1:27" ht="20.149999999999999" hidden="1" customHeight="1">
      <c r="A71" s="1322"/>
      <c r="B71" s="1323" t="s">
        <v>1662</v>
      </c>
      <c r="C71" s="1324"/>
      <c r="D71" s="1048"/>
      <c r="E71" s="1334">
        <v>1.2</v>
      </c>
      <c r="F71" s="1335">
        <v>1.35</v>
      </c>
      <c r="G71" s="1335">
        <v>1.3460000000000001</v>
      </c>
      <c r="H71" s="1336"/>
      <c r="I71" s="1326">
        <v>1.42</v>
      </c>
      <c r="J71" s="1326">
        <v>1.35</v>
      </c>
      <c r="K71" s="1327">
        <v>1.35</v>
      </c>
      <c r="L71" s="1326"/>
      <c r="M71" s="1545"/>
      <c r="N71" s="1328"/>
      <c r="O71" s="1329"/>
      <c r="P71" s="1329"/>
      <c r="Q71" s="1329"/>
      <c r="R71" s="884"/>
      <c r="S71" s="884"/>
      <c r="T71" s="884"/>
      <c r="U71" s="483"/>
      <c r="V71" s="1200"/>
      <c r="W71" s="1200"/>
      <c r="X71" s="1200"/>
      <c r="Y71" s="1200"/>
      <c r="Z71" s="1200"/>
      <c r="AA71" s="1187"/>
    </row>
    <row r="72" spans="1:27" ht="20.149999999999999" hidden="1" customHeight="1">
      <c r="A72" s="1322"/>
      <c r="B72" s="1323" t="s">
        <v>1663</v>
      </c>
      <c r="C72" s="1324"/>
      <c r="D72" s="1048"/>
      <c r="E72" s="1325">
        <v>1.1200000000000001</v>
      </c>
      <c r="F72" s="1237">
        <v>1.2649999999999999</v>
      </c>
      <c r="G72" s="1237">
        <v>1.2589999999999999</v>
      </c>
      <c r="H72" s="1238"/>
      <c r="I72" s="1326">
        <v>1.33</v>
      </c>
      <c r="J72" s="1326">
        <v>1.2609999999999999</v>
      </c>
      <c r="K72" s="1327">
        <v>1.2609999999999999</v>
      </c>
      <c r="L72" s="1326"/>
      <c r="M72" s="1545"/>
      <c r="N72" s="1328"/>
      <c r="O72" s="1329"/>
      <c r="P72" s="1329"/>
      <c r="Q72" s="1329"/>
      <c r="R72" s="884"/>
      <c r="S72" s="884"/>
      <c r="T72" s="884"/>
      <c r="U72" s="483"/>
      <c r="V72" s="1200"/>
      <c r="W72" s="1200"/>
      <c r="X72" s="1200"/>
      <c r="Y72" s="1200"/>
      <c r="Z72" s="1200"/>
      <c r="AA72" s="1187"/>
    </row>
    <row r="73" spans="1:27" ht="20.149999999999999" hidden="1" customHeight="1">
      <c r="A73" s="1322"/>
      <c r="B73" s="1323" t="s">
        <v>1664</v>
      </c>
      <c r="C73" s="1324"/>
      <c r="D73" s="1048"/>
      <c r="E73" s="1330">
        <v>0.68</v>
      </c>
      <c r="F73" s="1331">
        <v>0.76500000000000001</v>
      </c>
      <c r="G73" s="1331">
        <v>0.76200000000000001</v>
      </c>
      <c r="H73" s="1332"/>
      <c r="I73" s="1326">
        <v>0.81</v>
      </c>
      <c r="J73" s="1326">
        <v>0.81</v>
      </c>
      <c r="K73" s="1327">
        <v>0.81</v>
      </c>
      <c r="L73" s="1326"/>
      <c r="M73" s="1545"/>
      <c r="N73" s="1328"/>
      <c r="O73" s="1329"/>
      <c r="P73" s="1329"/>
      <c r="Q73" s="1329"/>
      <c r="R73" s="884"/>
      <c r="S73" s="884"/>
      <c r="T73" s="884"/>
      <c r="U73" s="483"/>
      <c r="V73" s="1200"/>
      <c r="W73" s="1200"/>
      <c r="X73" s="1200"/>
      <c r="Y73" s="1200"/>
      <c r="Z73" s="1200"/>
      <c r="AA73" s="1187"/>
    </row>
    <row r="74" spans="1:27" ht="20.149999999999999" hidden="1" customHeight="1">
      <c r="A74" s="1322"/>
      <c r="B74" s="1323" t="s">
        <v>1665</v>
      </c>
      <c r="C74" s="1324"/>
      <c r="D74" s="1048"/>
      <c r="E74" s="1330">
        <v>0.755</v>
      </c>
      <c r="F74" s="1331">
        <v>0.85499999999999998</v>
      </c>
      <c r="G74" s="1331">
        <v>0.85099999999999998</v>
      </c>
      <c r="H74" s="1332"/>
      <c r="I74" s="1326">
        <v>0.9</v>
      </c>
      <c r="J74" s="1326">
        <v>0.86</v>
      </c>
      <c r="K74" s="1327">
        <v>0.86</v>
      </c>
      <c r="L74" s="1326"/>
      <c r="M74" s="1545"/>
      <c r="N74" s="1328"/>
      <c r="O74" s="1329"/>
      <c r="P74" s="1329"/>
      <c r="Q74" s="1329"/>
      <c r="R74" s="884"/>
      <c r="S74" s="884"/>
      <c r="T74" s="884"/>
      <c r="U74" s="483"/>
      <c r="V74" s="1200"/>
      <c r="W74" s="1200"/>
      <c r="X74" s="1200"/>
      <c r="Y74" s="1200"/>
      <c r="Z74" s="1200"/>
      <c r="AA74" s="1187"/>
    </row>
    <row r="75" spans="1:27" ht="20.149999999999999" hidden="1" customHeight="1">
      <c r="A75" s="1322"/>
      <c r="B75" s="1323" t="s">
        <v>1666</v>
      </c>
      <c r="C75" s="1324"/>
      <c r="D75" s="1048"/>
      <c r="E75" s="1330">
        <v>0.48</v>
      </c>
      <c r="F75" s="1331">
        <v>0.77100000000000002</v>
      </c>
      <c r="G75" s="1331">
        <v>0.77100000000000002</v>
      </c>
      <c r="H75" s="1332"/>
      <c r="I75" s="1326">
        <v>0.56999999999999995</v>
      </c>
      <c r="J75" s="1333">
        <v>0.48</v>
      </c>
      <c r="K75" s="1330">
        <v>0.48</v>
      </c>
      <c r="L75" s="1331"/>
      <c r="M75" s="1545"/>
      <c r="N75" s="1328"/>
      <c r="O75" s="1329"/>
      <c r="P75" s="1329"/>
      <c r="Q75" s="1329"/>
      <c r="R75" s="884"/>
      <c r="S75" s="884"/>
      <c r="T75" s="884"/>
      <c r="U75" s="483"/>
      <c r="V75" s="1200"/>
      <c r="W75" s="1200"/>
      <c r="X75" s="1200"/>
      <c r="Y75" s="1200"/>
      <c r="Z75" s="1200"/>
      <c r="AA75" s="1187"/>
    </row>
    <row r="76" spans="1:27" ht="20.149999999999999" hidden="1" customHeight="1">
      <c r="A76" s="1322"/>
      <c r="B76" s="1323" t="s">
        <v>1667</v>
      </c>
      <c r="C76" s="1324"/>
      <c r="D76" s="1048"/>
      <c r="E76" s="1330">
        <v>0.44</v>
      </c>
      <c r="F76" s="1331">
        <v>0.495</v>
      </c>
      <c r="G76" s="1331">
        <v>0.49399999999999999</v>
      </c>
      <c r="H76" s="1332"/>
      <c r="I76" s="1326">
        <v>0.53</v>
      </c>
      <c r="J76" s="1326">
        <v>0.5</v>
      </c>
      <c r="K76" s="1327">
        <v>0.5</v>
      </c>
      <c r="L76" s="1326"/>
      <c r="M76" s="1545"/>
      <c r="N76" s="1328"/>
      <c r="O76" s="1329"/>
      <c r="P76" s="1329"/>
      <c r="Q76" s="1329"/>
      <c r="R76" s="884"/>
      <c r="S76" s="884"/>
      <c r="T76" s="884"/>
      <c r="U76" s="483"/>
      <c r="V76" s="1200"/>
      <c r="W76" s="1200"/>
      <c r="X76" s="1200"/>
      <c r="Y76" s="1200"/>
      <c r="Z76" s="1200"/>
      <c r="AA76" s="1187"/>
    </row>
    <row r="77" spans="1:27" ht="20.149999999999999" hidden="1" customHeight="1">
      <c r="A77" s="1322"/>
      <c r="B77" s="1323" t="s">
        <v>1668</v>
      </c>
      <c r="C77" s="1324"/>
      <c r="D77" s="1048"/>
      <c r="E77" s="1330">
        <v>0.97</v>
      </c>
      <c r="F77" s="1331">
        <v>1.095</v>
      </c>
      <c r="G77" s="1331">
        <v>1.0940000000000001</v>
      </c>
      <c r="H77" s="1332"/>
      <c r="I77" s="1326">
        <v>1.1599999999999999</v>
      </c>
      <c r="J77" s="1326">
        <v>1.1000000000000001</v>
      </c>
      <c r="K77" s="1327">
        <v>1.1000000000000001</v>
      </c>
      <c r="L77" s="1326"/>
      <c r="M77" s="1545"/>
      <c r="N77" s="1328"/>
      <c r="O77" s="1329"/>
      <c r="P77" s="1329"/>
      <c r="Q77" s="1329"/>
      <c r="R77" s="884"/>
      <c r="S77" s="884"/>
      <c r="T77" s="884"/>
      <c r="U77" s="483"/>
      <c r="V77" s="1200"/>
      <c r="W77" s="1200"/>
      <c r="X77" s="1200"/>
      <c r="Y77" s="1200"/>
      <c r="Z77" s="1200"/>
      <c r="AA77" s="1187"/>
    </row>
    <row r="78" spans="1:27" ht="20.149999999999999" hidden="1" customHeight="1">
      <c r="A78" s="1322"/>
      <c r="B78" s="1323" t="s">
        <v>1551</v>
      </c>
      <c r="C78" s="1324"/>
      <c r="D78" s="1048"/>
      <c r="E78" s="1330">
        <v>1.91</v>
      </c>
      <c r="F78" s="1331">
        <v>2.1549999999999998</v>
      </c>
      <c r="G78" s="1331">
        <v>2.1549999999999998</v>
      </c>
      <c r="H78" s="1332"/>
      <c r="I78" s="1326">
        <v>2.2799999999999998</v>
      </c>
      <c r="J78" s="1326">
        <v>2.1</v>
      </c>
      <c r="K78" s="1327">
        <v>2.1</v>
      </c>
      <c r="L78" s="1326"/>
      <c r="M78" s="1545"/>
      <c r="N78" s="1328"/>
      <c r="O78" s="1329"/>
      <c r="P78" s="1329"/>
      <c r="Q78" s="1329"/>
      <c r="R78" s="884"/>
      <c r="S78" s="884"/>
      <c r="T78" s="884"/>
      <c r="U78" s="483"/>
      <c r="V78" s="1200"/>
      <c r="W78" s="1200"/>
      <c r="X78" s="1200"/>
      <c r="Y78" s="1200"/>
      <c r="Z78" s="1200"/>
      <c r="AA78" s="1187"/>
    </row>
    <row r="79" spans="1:27" ht="20.149999999999999" hidden="1" customHeight="1">
      <c r="A79" s="1322"/>
      <c r="B79" s="1323" t="s">
        <v>1585</v>
      </c>
      <c r="C79" s="1324"/>
      <c r="D79" s="1048"/>
      <c r="E79" s="1330">
        <v>0.68</v>
      </c>
      <c r="F79" s="1331">
        <v>0.76500000000000001</v>
      </c>
      <c r="G79" s="1331">
        <v>0.76300000000000001</v>
      </c>
      <c r="H79" s="1332"/>
      <c r="I79" s="1326">
        <v>0.81</v>
      </c>
      <c r="J79" s="1326"/>
      <c r="K79" s="1327"/>
      <c r="L79" s="1326"/>
      <c r="M79" s="1545"/>
      <c r="N79" s="1328"/>
      <c r="O79" s="1329"/>
      <c r="P79" s="1329"/>
      <c r="Q79" s="1329"/>
      <c r="R79" s="884"/>
      <c r="S79" s="884"/>
      <c r="T79" s="884"/>
      <c r="U79" s="483"/>
      <c r="V79" s="1200"/>
      <c r="W79" s="1200"/>
      <c r="X79" s="1200"/>
      <c r="Y79" s="1200"/>
      <c r="Z79" s="1200"/>
      <c r="AA79" s="1187"/>
    </row>
    <row r="80" spans="1:27" ht="20.149999999999999" hidden="1" customHeight="1">
      <c r="A80" s="1322"/>
      <c r="B80" s="1323" t="s">
        <v>1552</v>
      </c>
      <c r="C80" s="1324"/>
      <c r="D80" s="1048"/>
      <c r="E80" s="1330">
        <v>0.30499999999999999</v>
      </c>
      <c r="F80" s="1331">
        <v>0.34499999999999997</v>
      </c>
      <c r="G80" s="1331">
        <v>0.34300000000000003</v>
      </c>
      <c r="H80" s="1332"/>
      <c r="I80" s="1326">
        <v>0.36</v>
      </c>
      <c r="J80" s="1326">
        <v>0.35</v>
      </c>
      <c r="K80" s="1327">
        <v>0.4</v>
      </c>
      <c r="L80" s="1326"/>
      <c r="M80" s="1545"/>
      <c r="N80" s="1328"/>
      <c r="O80" s="1329"/>
      <c r="P80" s="1329"/>
      <c r="Q80" s="1329"/>
      <c r="R80" s="884"/>
      <c r="S80" s="884"/>
      <c r="T80" s="884"/>
      <c r="U80" s="483"/>
      <c r="V80" s="1200"/>
      <c r="W80" s="1200"/>
      <c r="X80" s="1200"/>
      <c r="Y80" s="1200"/>
      <c r="Z80" s="1200"/>
      <c r="AA80" s="1187"/>
    </row>
    <row r="81" spans="1:27" ht="20.149999999999999" hidden="1" customHeight="1">
      <c r="A81" s="1322"/>
      <c r="B81" s="1323" t="s">
        <v>485</v>
      </c>
      <c r="C81" s="1337"/>
      <c r="D81" s="1338"/>
      <c r="E81" s="1339">
        <v>2.09</v>
      </c>
      <c r="F81" s="1331">
        <v>2.3450000000000002</v>
      </c>
      <c r="G81" s="1331">
        <v>2.3450000000000002</v>
      </c>
      <c r="H81" s="1332"/>
      <c r="I81" s="1340">
        <v>2.48</v>
      </c>
      <c r="J81" s="1340"/>
      <c r="K81" s="1341"/>
      <c r="L81" s="1342"/>
      <c r="M81" s="1546"/>
      <c r="N81" s="1359"/>
      <c r="O81" s="1360"/>
      <c r="P81" s="1360"/>
      <c r="Q81" s="1360"/>
      <c r="R81" s="1361"/>
      <c r="S81" s="1361"/>
      <c r="T81" s="1361"/>
      <c r="U81" s="533"/>
      <c r="V81" s="1200"/>
      <c r="W81" s="1200"/>
      <c r="X81" s="1200"/>
      <c r="Y81" s="1200"/>
      <c r="Z81" s="1200"/>
      <c r="AA81" s="1362"/>
    </row>
    <row r="82" spans="1:27" ht="43.5" customHeight="1">
      <c r="A82" s="501" t="s">
        <v>2098</v>
      </c>
      <c r="B82" s="496" t="s">
        <v>1744</v>
      </c>
      <c r="C82" s="501"/>
      <c r="D82" s="501"/>
      <c r="E82" s="515">
        <f>SUM(E84)</f>
        <v>0.5</v>
      </c>
      <c r="F82" s="515"/>
      <c r="G82" s="515"/>
      <c r="H82" s="1343"/>
      <c r="I82" s="502">
        <f t="shared" ref="I82:K82" si="34">SUM(I84)</f>
        <v>0.5</v>
      </c>
      <c r="J82" s="502">
        <f t="shared" si="34"/>
        <v>1</v>
      </c>
      <c r="K82" s="502">
        <f t="shared" si="34"/>
        <v>1</v>
      </c>
      <c r="L82" s="501" t="s">
        <v>1281</v>
      </c>
      <c r="M82" s="2000"/>
      <c r="N82" s="2000"/>
      <c r="O82" s="2000"/>
      <c r="P82" s="2000"/>
      <c r="Q82" s="2000"/>
      <c r="R82" s="2000"/>
      <c r="S82" s="2000"/>
      <c r="T82" s="2000"/>
      <c r="U82" s="2000"/>
      <c r="V82" s="2000"/>
      <c r="W82" s="2000"/>
      <c r="X82" s="2000"/>
      <c r="Y82" s="2000"/>
      <c r="Z82" s="2000"/>
      <c r="AA82" s="2000"/>
    </row>
    <row r="83" spans="1:27" ht="43.2" customHeight="1">
      <c r="A83" s="1767" t="s">
        <v>2101</v>
      </c>
      <c r="B83" s="1895" t="s">
        <v>1475</v>
      </c>
      <c r="C83" s="1937">
        <v>188711925</v>
      </c>
      <c r="D83" s="733" t="s">
        <v>668</v>
      </c>
      <c r="E83" s="1204">
        <v>0.5</v>
      </c>
      <c r="F83" s="1204"/>
      <c r="G83" s="1204"/>
      <c r="H83" s="1204"/>
      <c r="I83" s="734">
        <v>0.5</v>
      </c>
      <c r="J83" s="759">
        <v>1</v>
      </c>
      <c r="K83" s="1319">
        <v>1</v>
      </c>
      <c r="L83" s="1701" t="s">
        <v>2435</v>
      </c>
      <c r="M83" s="1887" t="s">
        <v>3688</v>
      </c>
      <c r="N83" s="1869" t="s">
        <v>64</v>
      </c>
      <c r="O83" s="1869" t="s">
        <v>3011</v>
      </c>
      <c r="P83" s="1869" t="s">
        <v>469</v>
      </c>
      <c r="Q83" s="1869" t="s">
        <v>613</v>
      </c>
      <c r="R83" s="1869" t="s">
        <v>469</v>
      </c>
      <c r="S83" s="1869" t="s">
        <v>469</v>
      </c>
      <c r="T83" s="1869" t="s">
        <v>469</v>
      </c>
      <c r="U83" s="2078" t="s">
        <v>1282</v>
      </c>
      <c r="V83" s="818"/>
      <c r="W83" s="818"/>
      <c r="X83" s="818"/>
      <c r="Y83" s="818"/>
      <c r="Z83" s="818"/>
      <c r="AA83" s="1874" t="s">
        <v>3574</v>
      </c>
    </row>
    <row r="84" spans="1:27" ht="32.5" customHeight="1">
      <c r="A84" s="1803"/>
      <c r="B84" s="1890"/>
      <c r="C84" s="1936"/>
      <c r="D84" s="730" t="s">
        <v>1321</v>
      </c>
      <c r="E84" s="1262">
        <f>E83</f>
        <v>0.5</v>
      </c>
      <c r="F84" s="1262"/>
      <c r="G84" s="1262"/>
      <c r="H84" s="1262"/>
      <c r="I84" s="731">
        <f t="shared" ref="I84:K84" si="35">I83</f>
        <v>0.5</v>
      </c>
      <c r="J84" s="731">
        <f t="shared" si="35"/>
        <v>1</v>
      </c>
      <c r="K84" s="1344">
        <f t="shared" si="35"/>
        <v>1</v>
      </c>
      <c r="L84" s="1702"/>
      <c r="M84" s="2076"/>
      <c r="N84" s="1869"/>
      <c r="O84" s="1869"/>
      <c r="P84" s="1869"/>
      <c r="Q84" s="1869"/>
      <c r="R84" s="1869"/>
      <c r="S84" s="1869"/>
      <c r="T84" s="1869"/>
      <c r="U84" s="2078"/>
      <c r="V84" s="818"/>
      <c r="W84" s="818"/>
      <c r="X84" s="818"/>
      <c r="Y84" s="818"/>
      <c r="Z84" s="818"/>
      <c r="AA84" s="1874"/>
    </row>
    <row r="85" spans="1:27" ht="56.25" customHeight="1">
      <c r="A85" s="501" t="s">
        <v>2099</v>
      </c>
      <c r="B85" s="496" t="s">
        <v>2747</v>
      </c>
      <c r="C85" s="501"/>
      <c r="D85" s="501"/>
      <c r="E85" s="515">
        <f>SUM(E87)</f>
        <v>30</v>
      </c>
      <c r="F85" s="515">
        <f t="shared" ref="F85:G85" si="36">SUM(F87)</f>
        <v>40</v>
      </c>
      <c r="G85" s="515">
        <f t="shared" si="36"/>
        <v>39.963999999999999</v>
      </c>
      <c r="H85" s="516">
        <f>G85/F85</f>
        <v>0.99909999999999999</v>
      </c>
      <c r="I85" s="502">
        <f t="shared" ref="I85:K85" si="37">SUM(I87)</f>
        <v>70</v>
      </c>
      <c r="J85" s="502">
        <f t="shared" si="37"/>
        <v>40.5</v>
      </c>
      <c r="K85" s="502">
        <f t="shared" si="37"/>
        <v>40.5</v>
      </c>
      <c r="L85" s="501" t="s">
        <v>1241</v>
      </c>
      <c r="M85" s="2075"/>
      <c r="N85" s="2075"/>
      <c r="O85" s="2075"/>
      <c r="P85" s="2075"/>
      <c r="Q85" s="2075"/>
      <c r="R85" s="2075"/>
      <c r="S85" s="2075"/>
      <c r="T85" s="2075"/>
      <c r="U85" s="2075"/>
      <c r="V85" s="2075"/>
      <c r="W85" s="2075"/>
      <c r="X85" s="2075"/>
      <c r="Y85" s="2075"/>
      <c r="Z85" s="2075"/>
      <c r="AA85" s="2075"/>
    </row>
    <row r="86" spans="1:27" ht="25.95" customHeight="1">
      <c r="A86" s="1767" t="s">
        <v>2102</v>
      </c>
      <c r="B86" s="1895" t="s">
        <v>1476</v>
      </c>
      <c r="C86" s="1937">
        <v>188711925</v>
      </c>
      <c r="D86" s="733" t="s">
        <v>668</v>
      </c>
      <c r="E86" s="1204">
        <v>30</v>
      </c>
      <c r="F86" s="1204">
        <v>40</v>
      </c>
      <c r="G86" s="1204">
        <v>39.963999999999999</v>
      </c>
      <c r="H86" s="1256">
        <f>G86/F86</f>
        <v>0.99909999999999999</v>
      </c>
      <c r="I86" s="734">
        <v>70</v>
      </c>
      <c r="J86" s="759">
        <v>40.5</v>
      </c>
      <c r="K86" s="1319">
        <v>40.5</v>
      </c>
      <c r="L86" s="1701" t="s">
        <v>2436</v>
      </c>
      <c r="M86" s="1887" t="s">
        <v>3689</v>
      </c>
      <c r="N86" s="1869" t="s">
        <v>185</v>
      </c>
      <c r="O86" s="1869" t="s">
        <v>1674</v>
      </c>
      <c r="P86" s="1869" t="s">
        <v>469</v>
      </c>
      <c r="Q86" s="1869" t="s">
        <v>469</v>
      </c>
      <c r="R86" s="1869" t="s">
        <v>1568</v>
      </c>
      <c r="S86" s="1869" t="s">
        <v>1568</v>
      </c>
      <c r="T86" s="1869" t="s">
        <v>1568</v>
      </c>
      <c r="U86" s="2078" t="s">
        <v>2437</v>
      </c>
      <c r="V86" s="818"/>
      <c r="W86" s="818"/>
      <c r="X86" s="818"/>
      <c r="Y86" s="818"/>
      <c r="Z86" s="818"/>
      <c r="AA86" s="1874" t="s">
        <v>3544</v>
      </c>
    </row>
    <row r="87" spans="1:27" ht="66.75" customHeight="1">
      <c r="A87" s="1803"/>
      <c r="B87" s="1889"/>
      <c r="C87" s="1935"/>
      <c r="D87" s="727" t="s">
        <v>1321</v>
      </c>
      <c r="E87" s="1207">
        <f>E86</f>
        <v>30</v>
      </c>
      <c r="F87" s="1207">
        <f t="shared" ref="F87:H87" si="38">F86</f>
        <v>40</v>
      </c>
      <c r="G87" s="1207">
        <f t="shared" si="38"/>
        <v>39.963999999999999</v>
      </c>
      <c r="H87" s="1257">
        <f t="shared" si="38"/>
        <v>0.99909999999999999</v>
      </c>
      <c r="I87" s="706">
        <f t="shared" ref="I87:K87" si="39">I86</f>
        <v>70</v>
      </c>
      <c r="J87" s="706">
        <f t="shared" si="39"/>
        <v>40.5</v>
      </c>
      <c r="K87" s="1312">
        <f t="shared" si="39"/>
        <v>40.5</v>
      </c>
      <c r="L87" s="1702"/>
      <c r="M87" s="1888"/>
      <c r="N87" s="1869"/>
      <c r="O87" s="1869"/>
      <c r="P87" s="1869"/>
      <c r="Q87" s="1869"/>
      <c r="R87" s="1869"/>
      <c r="S87" s="1869"/>
      <c r="T87" s="1869"/>
      <c r="U87" s="2078"/>
      <c r="V87" s="818"/>
      <c r="W87" s="818"/>
      <c r="X87" s="818"/>
      <c r="Y87" s="818"/>
      <c r="Z87" s="818"/>
      <c r="AA87" s="1874"/>
    </row>
    <row r="88" spans="1:27" ht="12" hidden="1" customHeight="1">
      <c r="A88" s="1345"/>
      <c r="B88" s="1346"/>
      <c r="C88" s="1347"/>
      <c r="D88" s="1348"/>
      <c r="E88" s="1349"/>
      <c r="F88" s="1349"/>
      <c r="G88" s="1349"/>
      <c r="H88" s="1349"/>
      <c r="I88" s="784"/>
      <c r="J88" s="784"/>
      <c r="K88" s="1350"/>
      <c r="L88" s="1351"/>
      <c r="M88" s="1547" t="s">
        <v>2559</v>
      </c>
      <c r="N88" s="832"/>
      <c r="O88" s="832"/>
      <c r="P88" s="832"/>
      <c r="Q88" s="832"/>
      <c r="R88" s="833"/>
      <c r="S88" s="833"/>
      <c r="T88" s="833"/>
      <c r="U88" s="832"/>
      <c r="V88" s="1200"/>
      <c r="W88" s="1200"/>
      <c r="X88" s="1200"/>
      <c r="Y88" s="1200"/>
      <c r="Z88" s="1200"/>
      <c r="AA88" s="1209"/>
    </row>
    <row r="89" spans="1:27" ht="57" customHeight="1">
      <c r="A89" s="501" t="s">
        <v>2100</v>
      </c>
      <c r="B89" s="496" t="s">
        <v>1477</v>
      </c>
      <c r="C89" s="501"/>
      <c r="D89" s="501"/>
      <c r="E89" s="1343"/>
      <c r="F89" s="1343"/>
      <c r="G89" s="1343"/>
      <c r="H89" s="1343"/>
      <c r="I89" s="502">
        <f t="shared" ref="I89:K89" si="40">SUM(I92)</f>
        <v>0</v>
      </c>
      <c r="J89" s="502">
        <f t="shared" si="40"/>
        <v>0</v>
      </c>
      <c r="K89" s="502">
        <f t="shared" si="40"/>
        <v>0</v>
      </c>
      <c r="L89" s="501" t="s">
        <v>1255</v>
      </c>
      <c r="M89" s="2002"/>
      <c r="N89" s="2003"/>
      <c r="O89" s="2003"/>
      <c r="P89" s="2003"/>
      <c r="Q89" s="2003"/>
      <c r="R89" s="2003"/>
      <c r="S89" s="2003"/>
      <c r="T89" s="2003"/>
      <c r="U89" s="2003"/>
      <c r="V89" s="2003"/>
      <c r="W89" s="2003"/>
      <c r="X89" s="2003"/>
      <c r="Y89" s="2003"/>
      <c r="Z89" s="2003"/>
      <c r="AA89" s="2004"/>
    </row>
    <row r="90" spans="1:27" ht="32.25" customHeight="1">
      <c r="A90" s="2017" t="s">
        <v>2527</v>
      </c>
      <c r="B90" s="1824" t="s">
        <v>1478</v>
      </c>
      <c r="C90" s="1937">
        <v>188711925</v>
      </c>
      <c r="D90" s="733" t="s">
        <v>668</v>
      </c>
      <c r="E90" s="1206"/>
      <c r="F90" s="1206"/>
      <c r="G90" s="1206"/>
      <c r="H90" s="1206"/>
      <c r="I90" s="734"/>
      <c r="J90" s="759"/>
      <c r="K90" s="1319"/>
      <c r="L90" s="1701" t="s">
        <v>2428</v>
      </c>
      <c r="M90" s="1887" t="s">
        <v>3450</v>
      </c>
      <c r="N90" s="1869" t="s">
        <v>3447</v>
      </c>
      <c r="O90" s="1869" t="s">
        <v>509</v>
      </c>
      <c r="P90" s="1869" t="s">
        <v>613</v>
      </c>
      <c r="Q90" s="1869" t="s">
        <v>613</v>
      </c>
      <c r="R90" s="1869" t="s">
        <v>613</v>
      </c>
      <c r="S90" s="1869" t="s">
        <v>613</v>
      </c>
      <c r="T90" s="1869" t="s">
        <v>469</v>
      </c>
      <c r="U90" s="2078" t="s">
        <v>2421</v>
      </c>
      <c r="V90" s="818"/>
      <c r="W90" s="818"/>
      <c r="X90" s="818"/>
      <c r="Y90" s="818"/>
      <c r="Z90" s="818"/>
      <c r="AA90" s="1874" t="s">
        <v>3557</v>
      </c>
    </row>
    <row r="91" spans="1:27" ht="24" customHeight="1">
      <c r="A91" s="2010"/>
      <c r="B91" s="1791"/>
      <c r="C91" s="1935"/>
      <c r="D91" s="724" t="s">
        <v>341</v>
      </c>
      <c r="E91" s="1220"/>
      <c r="F91" s="1220"/>
      <c r="G91" s="1220"/>
      <c r="H91" s="1220"/>
      <c r="I91" s="701"/>
      <c r="J91" s="742"/>
      <c r="K91" s="1311"/>
      <c r="L91" s="1882"/>
      <c r="M91" s="1887"/>
      <c r="N91" s="1869"/>
      <c r="O91" s="1869"/>
      <c r="P91" s="1869"/>
      <c r="Q91" s="1869"/>
      <c r="R91" s="1869"/>
      <c r="S91" s="1869"/>
      <c r="T91" s="1869"/>
      <c r="U91" s="2078"/>
      <c r="V91" s="818"/>
      <c r="W91" s="818"/>
      <c r="X91" s="818"/>
      <c r="Y91" s="818"/>
      <c r="Z91" s="818"/>
      <c r="AA91" s="1874"/>
    </row>
    <row r="92" spans="1:27" ht="19.95" customHeight="1">
      <c r="A92" s="2010"/>
      <c r="B92" s="1791"/>
      <c r="C92" s="1935"/>
      <c r="D92" s="727" t="s">
        <v>1321</v>
      </c>
      <c r="E92" s="1225"/>
      <c r="F92" s="1225"/>
      <c r="G92" s="1225"/>
      <c r="H92" s="1225"/>
      <c r="I92" s="706">
        <f t="shared" ref="I92" si="41">I90</f>
        <v>0</v>
      </c>
      <c r="J92" s="706">
        <f>SUM(J90:J91)</f>
        <v>0</v>
      </c>
      <c r="K92" s="706">
        <f>SUM(K90:K91)</f>
        <v>0</v>
      </c>
      <c r="L92" s="1702"/>
      <c r="M92" s="1888"/>
      <c r="N92" s="1869"/>
      <c r="O92" s="1869"/>
      <c r="P92" s="1869"/>
      <c r="Q92" s="1869"/>
      <c r="R92" s="1869"/>
      <c r="S92" s="1869"/>
      <c r="T92" s="1869"/>
      <c r="U92" s="2078"/>
      <c r="V92" s="818"/>
      <c r="W92" s="818"/>
      <c r="X92" s="818"/>
      <c r="Y92" s="818"/>
      <c r="Z92" s="818"/>
      <c r="AA92" s="1874"/>
    </row>
    <row r="93" spans="1:27" ht="63" customHeight="1">
      <c r="A93" s="1697"/>
      <c r="B93" s="1697"/>
      <c r="C93" s="1697"/>
      <c r="D93" s="1697"/>
      <c r="E93" s="1287" t="s">
        <v>2857</v>
      </c>
      <c r="F93" s="1287" t="s">
        <v>2874</v>
      </c>
      <c r="G93" s="1287" t="s">
        <v>2858</v>
      </c>
      <c r="H93" s="1287" t="s">
        <v>2859</v>
      </c>
      <c r="I93" s="807" t="str">
        <f>I12</f>
        <v>2024  m. asignavimai ir kitos lėšos, tūkst. Eur</v>
      </c>
      <c r="J93" s="807" t="str">
        <f>J12</f>
        <v>2025 m. asignavimai ir kitos lėšos, tūkst. Eur</v>
      </c>
      <c r="K93" s="807" t="str">
        <f>K12</f>
        <v>2026 m. asignavimai ir kitos lėšos, tūkst. Eur</v>
      </c>
      <c r="L93" s="1081"/>
      <c r="M93" s="1994"/>
      <c r="N93" s="1995"/>
      <c r="O93" s="1995"/>
      <c r="P93" s="1995"/>
      <c r="Q93" s="1995"/>
      <c r="R93" s="1995"/>
      <c r="S93" s="1995"/>
      <c r="T93" s="1995"/>
      <c r="U93" s="1995"/>
      <c r="V93" s="1995"/>
      <c r="W93" s="1995"/>
      <c r="X93" s="1995"/>
      <c r="Y93" s="1995"/>
      <c r="Z93" s="1995"/>
      <c r="AA93" s="1996"/>
    </row>
    <row r="94" spans="1:27" ht="20.5" customHeight="1">
      <c r="A94" s="1691" t="s">
        <v>986</v>
      </c>
      <c r="B94" s="1691"/>
      <c r="C94" s="1691"/>
      <c r="D94" s="1691"/>
      <c r="E94" s="1352">
        <f>SUM(E95:E101)</f>
        <v>3793.1120000000005</v>
      </c>
      <c r="F94" s="1288">
        <f>SUM(F95,F97,F98,F99,F100,)</f>
        <v>3847.2500000000009</v>
      </c>
      <c r="G94" s="1288">
        <f>SUM(G95,G97,G98,G99,G100,)</f>
        <v>3487.1910000000007</v>
      </c>
      <c r="H94" s="1353">
        <f>G94/F94</f>
        <v>0.9064113327701605</v>
      </c>
      <c r="I94" s="729">
        <f>SUM(I95,I97,I98,I99,I100,I101,)</f>
        <v>4245.2510000000002</v>
      </c>
      <c r="J94" s="729">
        <f>SUM(J95,J97,J98,J99,J100,J101,)</f>
        <v>4666.8920000000007</v>
      </c>
      <c r="K94" s="729">
        <f>SUM(K95,K97,K98,K99,K100,K101,)</f>
        <v>4447.652</v>
      </c>
      <c r="L94" s="809"/>
      <c r="M94" s="1538"/>
      <c r="N94" s="1199"/>
      <c r="O94" s="1199"/>
      <c r="P94" s="478"/>
      <c r="Q94" s="478"/>
      <c r="R94" s="478"/>
      <c r="S94" s="478"/>
      <c r="T94" s="478"/>
      <c r="U94" s="478"/>
      <c r="V94" s="1200"/>
      <c r="W94" s="1200"/>
      <c r="X94" s="1200"/>
      <c r="Y94" s="1200"/>
      <c r="Z94" s="1200"/>
      <c r="AA94" s="1200"/>
    </row>
    <row r="95" spans="1:27" ht="28.2" customHeight="1">
      <c r="A95" s="1692" t="s">
        <v>3272</v>
      </c>
      <c r="B95" s="1692"/>
      <c r="C95" s="1692"/>
      <c r="D95" s="1692"/>
      <c r="E95" s="1354">
        <f>SUM(E15,E19,E21,E23,E25,E29,E31,E35,E38,E40,E43,E47,E54,E57,E64,E83,E86,E90,E55,E44,E41,E36,E26,E16)</f>
        <v>3793.1120000000005</v>
      </c>
      <c r="F95" s="1222">
        <f t="shared" ref="F95:G95" si="42">SUM(F15,F19,F21,F23,F25,F29,F31,F35,F38,F40,F43,F47,F54,F57,F64,F83,F86,F90,F55,F44,F41,F36,F26,F16)</f>
        <v>3847.2500000000009</v>
      </c>
      <c r="G95" s="701">
        <f t="shared" si="42"/>
        <v>3487.1910000000007</v>
      </c>
      <c r="H95" s="1353">
        <f t="shared" ref="H95" si="43">G95/F95</f>
        <v>0.9064113327701605</v>
      </c>
      <c r="I95" s="701">
        <f>SUM(I15,I19,I21,I23,I25,I29,I35,I38,I40,I43,I54,I57,I64,I83,I86,I90,I96)</f>
        <v>3878.9300000000003</v>
      </c>
      <c r="J95" s="701">
        <f t="shared" ref="J95:K95" si="44">SUM(J15,J19,J21,J23,J25,J29,J31,J35,J38,J40,J43,J47,J54,J57,J64,J83,J86,J90,J96,J60)</f>
        <v>4238.3500000000004</v>
      </c>
      <c r="K95" s="701">
        <f t="shared" si="44"/>
        <v>4121.134</v>
      </c>
      <c r="L95" s="1295"/>
      <c r="M95" s="1504"/>
      <c r="N95" s="478"/>
      <c r="O95" s="478"/>
      <c r="P95" s="478"/>
      <c r="Q95" s="478"/>
      <c r="R95" s="478"/>
      <c r="S95" s="478"/>
      <c r="T95" s="478"/>
      <c r="U95" s="478"/>
      <c r="V95" s="1200"/>
      <c r="W95" s="1200"/>
      <c r="X95" s="1200"/>
      <c r="Y95" s="1200"/>
      <c r="Z95" s="1200"/>
      <c r="AA95" s="1200"/>
    </row>
    <row r="96" spans="1:27" ht="28.95" customHeight="1">
      <c r="A96" s="2064" t="s">
        <v>2755</v>
      </c>
      <c r="B96" s="2065"/>
      <c r="C96" s="2065"/>
      <c r="D96" s="2066"/>
      <c r="E96" s="1461"/>
      <c r="F96" s="1462">
        <f>SUM(F16,F26,F36,F41,F44,F55,)</f>
        <v>63.029000000000003</v>
      </c>
      <c r="G96" s="1462">
        <f>SUM(G16,G26,G36,G41,G44,G55,)</f>
        <v>45.730000000000004</v>
      </c>
      <c r="H96" s="1353">
        <f>G96/F96</f>
        <v>0.72553903758587324</v>
      </c>
      <c r="I96" s="1309">
        <f>SUM(I36,I26,I16,I55,I44,I41,)</f>
        <v>46.9</v>
      </c>
      <c r="J96" s="1309">
        <f t="shared" ref="J96:K96" si="45">SUM(J36,J26,J16,J55,J44,J41,)</f>
        <v>37.5</v>
      </c>
      <c r="K96" s="1309">
        <f t="shared" si="45"/>
        <v>37.5</v>
      </c>
      <c r="L96" s="1295"/>
      <c r="M96" s="1504"/>
      <c r="N96" s="478"/>
      <c r="O96" s="478"/>
      <c r="P96" s="478"/>
      <c r="Q96" s="478"/>
      <c r="R96" s="478"/>
      <c r="S96" s="478"/>
      <c r="T96" s="478"/>
      <c r="U96" s="478"/>
      <c r="V96" s="1200"/>
      <c r="W96" s="1200"/>
      <c r="X96" s="1200"/>
      <c r="Y96" s="1200"/>
      <c r="Z96" s="1200"/>
      <c r="AA96" s="1200"/>
    </row>
    <row r="97" spans="1:27" ht="25.2" customHeight="1">
      <c r="A97" s="1692" t="s">
        <v>988</v>
      </c>
      <c r="B97" s="1692"/>
      <c r="C97" s="1692"/>
      <c r="D97" s="1692"/>
      <c r="E97" s="1354">
        <v>0</v>
      </c>
      <c r="F97" s="1222">
        <v>0</v>
      </c>
      <c r="G97" s="1222">
        <v>0</v>
      </c>
      <c r="H97" s="1353"/>
      <c r="I97" s="701">
        <v>0</v>
      </c>
      <c r="J97" s="701">
        <v>0</v>
      </c>
      <c r="K97" s="701">
        <v>0</v>
      </c>
      <c r="L97" s="742"/>
      <c r="M97" s="1504"/>
      <c r="N97" s="478"/>
      <c r="O97" s="478"/>
      <c r="P97" s="478"/>
      <c r="Q97" s="478"/>
      <c r="R97" s="478"/>
      <c r="S97" s="478"/>
      <c r="T97" s="478"/>
      <c r="U97" s="478"/>
      <c r="V97" s="1200"/>
      <c r="W97" s="1200"/>
      <c r="X97" s="1200"/>
      <c r="Y97" s="1200"/>
      <c r="Z97" s="1200"/>
      <c r="AA97" s="1200"/>
    </row>
    <row r="98" spans="1:27" ht="20.149999999999999" customHeight="1">
      <c r="A98" s="1692" t="s">
        <v>989</v>
      </c>
      <c r="B98" s="1692"/>
      <c r="C98" s="1692"/>
      <c r="D98" s="1692"/>
      <c r="E98" s="1354">
        <v>0</v>
      </c>
      <c r="F98" s="1222">
        <v>0</v>
      </c>
      <c r="G98" s="1222">
        <v>0</v>
      </c>
      <c r="H98" s="1353"/>
      <c r="I98" s="701">
        <v>0</v>
      </c>
      <c r="J98" s="701">
        <v>0</v>
      </c>
      <c r="K98" s="701">
        <v>0</v>
      </c>
      <c r="L98" s="742"/>
      <c r="M98" s="1504"/>
      <c r="N98" s="478"/>
      <c r="O98" s="478"/>
      <c r="P98" s="478"/>
      <c r="Q98" s="478"/>
      <c r="R98" s="478"/>
      <c r="S98" s="478"/>
      <c r="T98" s="478"/>
      <c r="U98" s="478"/>
      <c r="V98" s="1200"/>
      <c r="W98" s="1200"/>
      <c r="X98" s="1200"/>
      <c r="Y98" s="1200"/>
      <c r="Z98" s="1200"/>
      <c r="AA98" s="1200"/>
    </row>
    <row r="99" spans="1:27" ht="29.5" customHeight="1">
      <c r="A99" s="1692" t="s">
        <v>2695</v>
      </c>
      <c r="B99" s="1692"/>
      <c r="C99" s="1692"/>
      <c r="D99" s="1692"/>
      <c r="E99" s="1354">
        <v>0</v>
      </c>
      <c r="F99" s="1222">
        <v>0</v>
      </c>
      <c r="G99" s="1222">
        <v>0</v>
      </c>
      <c r="H99" s="1353"/>
      <c r="I99" s="701">
        <f>SUM(I58,I32,)</f>
        <v>0</v>
      </c>
      <c r="J99" s="701">
        <f>SUM(J58,J32,)</f>
        <v>428.54200000000003</v>
      </c>
      <c r="K99" s="701">
        <f>SUM(K58,K32,)</f>
        <v>326.51800000000003</v>
      </c>
      <c r="L99" s="742"/>
      <c r="M99" s="1504"/>
      <c r="N99" s="478"/>
      <c r="O99" s="478"/>
      <c r="P99" s="478"/>
      <c r="Q99" s="478"/>
      <c r="R99" s="478"/>
      <c r="S99" s="478"/>
      <c r="T99" s="478"/>
      <c r="U99" s="478"/>
      <c r="V99" s="1200"/>
      <c r="W99" s="1200"/>
      <c r="X99" s="1200"/>
      <c r="Y99" s="1200"/>
      <c r="Z99" s="1200"/>
      <c r="AA99" s="1200"/>
    </row>
    <row r="100" spans="1:27" ht="20.149999999999999" customHeight="1">
      <c r="A100" s="1692" t="s">
        <v>990</v>
      </c>
      <c r="B100" s="1692"/>
      <c r="C100" s="1692"/>
      <c r="D100" s="1692"/>
      <c r="E100" s="1354">
        <v>0</v>
      </c>
      <c r="F100" s="1222">
        <v>0</v>
      </c>
      <c r="G100" s="1222">
        <v>0</v>
      </c>
      <c r="H100" s="1353"/>
      <c r="I100" s="701">
        <v>0</v>
      </c>
      <c r="J100" s="701">
        <v>0</v>
      </c>
      <c r="K100" s="701">
        <v>0</v>
      </c>
      <c r="L100" s="742"/>
      <c r="M100" s="1504"/>
      <c r="N100" s="478"/>
      <c r="O100" s="478"/>
      <c r="P100" s="478"/>
      <c r="Q100" s="478"/>
      <c r="R100" s="478"/>
      <c r="S100" s="478"/>
      <c r="T100" s="478"/>
      <c r="U100" s="478"/>
      <c r="V100" s="1200"/>
      <c r="W100" s="1200"/>
      <c r="X100" s="1200"/>
      <c r="Y100" s="1200"/>
      <c r="Z100" s="1200"/>
      <c r="AA100" s="1200"/>
    </row>
    <row r="101" spans="1:27" ht="27" hidden="1" customHeight="1">
      <c r="A101" s="633"/>
      <c r="B101" s="628" t="s">
        <v>991</v>
      </c>
      <c r="C101" s="628"/>
      <c r="D101" s="628"/>
      <c r="E101" s="1354">
        <v>0</v>
      </c>
      <c r="F101" s="1222">
        <v>0</v>
      </c>
      <c r="G101" s="1222">
        <v>0</v>
      </c>
      <c r="H101" s="1353"/>
      <c r="I101" s="701">
        <f>SUM(I31,I47,I60,I17,I45,I27)</f>
        <v>366.32099999999997</v>
      </c>
      <c r="J101" s="701">
        <v>0</v>
      </c>
      <c r="K101" s="701">
        <v>0</v>
      </c>
      <c r="L101" s="742"/>
      <c r="M101" s="1504"/>
      <c r="N101" s="478"/>
      <c r="O101" s="478"/>
      <c r="P101" s="478"/>
      <c r="Q101" s="478"/>
      <c r="R101" s="478"/>
      <c r="S101" s="478"/>
      <c r="T101" s="478"/>
      <c r="U101" s="478"/>
      <c r="V101" s="1200"/>
      <c r="W101" s="1200"/>
      <c r="X101" s="1200"/>
      <c r="Y101" s="1200"/>
      <c r="Z101" s="1200"/>
      <c r="AA101" s="1200"/>
    </row>
    <row r="102" spans="1:27" ht="42" customHeight="1">
      <c r="A102" s="1691" t="s">
        <v>992</v>
      </c>
      <c r="B102" s="1691"/>
      <c r="C102" s="1691"/>
      <c r="D102" s="1691"/>
      <c r="E102" s="1355">
        <v>164.13300000000001</v>
      </c>
      <c r="F102" s="1356">
        <v>0</v>
      </c>
      <c r="G102" s="1356">
        <v>0</v>
      </c>
      <c r="H102" s="1353"/>
      <c r="I102" s="1039">
        <f>I48</f>
        <v>141.36799999999999</v>
      </c>
      <c r="J102" s="1039">
        <f t="shared" ref="J102:K102" si="46">J48</f>
        <v>0</v>
      </c>
      <c r="K102" s="1039">
        <f t="shared" si="46"/>
        <v>0</v>
      </c>
      <c r="L102" s="742"/>
      <c r="M102" s="1504"/>
      <c r="N102" s="478"/>
      <c r="O102" s="478"/>
      <c r="P102" s="478"/>
      <c r="Q102" s="478"/>
      <c r="R102" s="478"/>
      <c r="S102" s="478"/>
      <c r="T102" s="478"/>
      <c r="U102" s="478"/>
      <c r="V102" s="1200"/>
      <c r="W102" s="1200"/>
      <c r="X102" s="1200"/>
      <c r="Y102" s="1200"/>
      <c r="Z102" s="1200"/>
      <c r="AA102" s="1200"/>
    </row>
    <row r="103" spans="1:27" ht="42" customHeight="1">
      <c r="A103" s="1691" t="s">
        <v>1334</v>
      </c>
      <c r="B103" s="1691"/>
      <c r="C103" s="1691"/>
      <c r="D103" s="1691"/>
      <c r="E103" s="1357">
        <f>SUM(E94,E102)</f>
        <v>3957.2450000000003</v>
      </c>
      <c r="F103" s="1358">
        <f>SUM(F94,F102)</f>
        <v>3847.2500000000009</v>
      </c>
      <c r="G103" s="1358">
        <f t="shared" ref="G103" si="47">SUM(G94,G102)</f>
        <v>3487.1910000000007</v>
      </c>
      <c r="H103" s="1353">
        <f>G103/F103</f>
        <v>0.9064113327701605</v>
      </c>
      <c r="I103" s="703">
        <f>I94+I102</f>
        <v>4386.6190000000006</v>
      </c>
      <c r="J103" s="703">
        <f>J94+J102</f>
        <v>4666.8920000000007</v>
      </c>
      <c r="K103" s="703">
        <f>K94+K102</f>
        <v>4447.652</v>
      </c>
      <c r="L103" s="809"/>
      <c r="M103" s="1504"/>
      <c r="N103" s="478"/>
      <c r="O103" s="478"/>
      <c r="P103" s="478"/>
      <c r="Q103" s="478"/>
      <c r="R103" s="478"/>
      <c r="S103" s="478"/>
      <c r="T103" s="478"/>
      <c r="U103" s="478"/>
      <c r="V103" s="1200"/>
      <c r="W103" s="1200"/>
      <c r="X103" s="1200"/>
      <c r="Y103" s="1200"/>
      <c r="Z103" s="1200"/>
      <c r="AA103" s="1200"/>
    </row>
    <row r="104" spans="1:27" ht="20.149999999999999" hidden="1" customHeight="1">
      <c r="A104" s="631"/>
      <c r="B104" s="629" t="s">
        <v>1948</v>
      </c>
      <c r="C104" s="629"/>
      <c r="D104" s="629"/>
      <c r="E104" s="517">
        <v>0</v>
      </c>
      <c r="F104" s="517">
        <v>0</v>
      </c>
      <c r="G104" s="517">
        <v>0</v>
      </c>
      <c r="H104" s="518"/>
      <c r="I104" s="476">
        <f>SUM(I92,I59,I34,I62)</f>
        <v>236.03700000000001</v>
      </c>
      <c r="J104" s="476">
        <f t="shared" ref="J104:K104" si="48">SUM(J92,J59,J34,J62)</f>
        <v>1617.866</v>
      </c>
      <c r="K104" s="476">
        <f t="shared" si="48"/>
        <v>836.22800000000007</v>
      </c>
      <c r="L104" s="477"/>
      <c r="M104" s="1504"/>
      <c r="N104" s="479"/>
      <c r="O104" s="479"/>
      <c r="P104" s="479"/>
      <c r="Q104" s="479"/>
      <c r="R104" s="481"/>
      <c r="S104" s="481"/>
      <c r="T104" s="481"/>
      <c r="U104" s="479"/>
      <c r="X104" s="378"/>
      <c r="Y104" s="378"/>
    </row>
    <row r="105" spans="1:27" ht="40.950000000000003" hidden="1" customHeight="1">
      <c r="A105" s="632"/>
      <c r="B105" s="630" t="s">
        <v>993</v>
      </c>
      <c r="C105" s="630"/>
      <c r="D105" s="630"/>
      <c r="E105" s="517">
        <v>0</v>
      </c>
      <c r="F105" s="517">
        <v>0</v>
      </c>
      <c r="G105" s="517">
        <v>0</v>
      </c>
      <c r="H105" s="518"/>
      <c r="I105" s="480">
        <f>I103/E103-1</f>
        <v>0.10850326426592249</v>
      </c>
      <c r="J105" s="480">
        <f>J103/I103-1</f>
        <v>6.3892715551544299E-2</v>
      </c>
      <c r="K105" s="480">
        <f>K103/J103-1</f>
        <v>-4.6977731646672072E-2</v>
      </c>
      <c r="L105" s="477"/>
      <c r="M105" s="1504"/>
      <c r="N105" s="479"/>
      <c r="O105" s="479"/>
      <c r="P105" s="479"/>
      <c r="Q105" s="479"/>
      <c r="R105" s="481"/>
      <c r="S105" s="481"/>
      <c r="T105" s="481"/>
      <c r="U105" s="479"/>
      <c r="X105" s="378"/>
      <c r="Y105" s="378"/>
    </row>
    <row r="106" spans="1:27">
      <c r="E106" s="378"/>
      <c r="F106" s="378"/>
      <c r="G106" s="378"/>
      <c r="H106" s="378"/>
      <c r="X106" s="378"/>
      <c r="Y106" s="378"/>
    </row>
    <row r="107" spans="1:27" ht="10.95" customHeight="1">
      <c r="B107" s="397"/>
      <c r="C107" s="397"/>
      <c r="D107" s="397"/>
      <c r="E107" s="2077"/>
      <c r="F107" s="2077"/>
      <c r="G107" s="2077"/>
      <c r="H107" s="2077"/>
      <c r="I107" s="2077"/>
      <c r="J107" s="2077"/>
      <c r="K107" s="2077"/>
      <c r="L107" s="397"/>
      <c r="X107" s="378"/>
      <c r="Y107" s="378"/>
    </row>
    <row r="108" spans="1:27" ht="28.95" hidden="1" customHeight="1">
      <c r="E108" s="378"/>
      <c r="F108" s="553">
        <v>3784.221</v>
      </c>
      <c r="G108" s="554">
        <v>3441.46</v>
      </c>
      <c r="H108" s="378"/>
      <c r="I108" s="385">
        <v>4181.1549999999997</v>
      </c>
      <c r="X108" s="378"/>
      <c r="Y108" s="378"/>
    </row>
    <row r="109" spans="1:27" hidden="1">
      <c r="E109" s="378"/>
      <c r="F109" s="385">
        <f>F108-F95</f>
        <v>-63.029000000000906</v>
      </c>
      <c r="G109" s="385">
        <f>G108-G95</f>
        <v>-45.731000000000677</v>
      </c>
      <c r="H109" s="378"/>
      <c r="I109" s="385">
        <f>I108-I95-I101</f>
        <v>-64.096000000000515</v>
      </c>
      <c r="X109" s="378"/>
      <c r="Y109" s="378"/>
    </row>
    <row r="110" spans="1:27" hidden="1">
      <c r="E110" s="378"/>
      <c r="F110" s="378"/>
      <c r="G110" s="378"/>
      <c r="H110" s="378"/>
      <c r="I110" s="385"/>
      <c r="X110" s="378"/>
      <c r="Y110" s="378"/>
    </row>
    <row r="111" spans="1:27">
      <c r="E111" s="378"/>
      <c r="F111" s="378"/>
      <c r="G111" s="378"/>
      <c r="H111" s="378"/>
      <c r="X111" s="378"/>
      <c r="Y111" s="378"/>
    </row>
    <row r="112" spans="1:27">
      <c r="E112" s="378"/>
      <c r="F112" s="378"/>
      <c r="G112" s="378"/>
      <c r="H112" s="378"/>
      <c r="X112" s="378"/>
      <c r="Y112" s="378"/>
    </row>
    <row r="113" spans="13:20" s="378" customFormat="1">
      <c r="M113" s="1539"/>
      <c r="R113" s="460"/>
      <c r="S113" s="460"/>
      <c r="T113" s="460"/>
    </row>
    <row r="114" spans="13:20" s="378" customFormat="1">
      <c r="M114" s="1539"/>
      <c r="R114" s="460"/>
      <c r="S114" s="460"/>
      <c r="T114" s="460"/>
    </row>
    <row r="115" spans="13:20" s="378" customFormat="1">
      <c r="M115" s="1539"/>
      <c r="R115" s="460"/>
      <c r="S115" s="460"/>
      <c r="T115" s="460"/>
    </row>
    <row r="116" spans="13:20" s="378" customFormat="1">
      <c r="M116" s="1539"/>
      <c r="R116" s="460"/>
      <c r="S116" s="460"/>
      <c r="T116" s="460"/>
    </row>
    <row r="117" spans="13:20" s="378" customFormat="1">
      <c r="M117" s="1539"/>
      <c r="R117" s="460"/>
      <c r="S117" s="460"/>
      <c r="T117" s="460"/>
    </row>
    <row r="118" spans="13:20" s="378" customFormat="1">
      <c r="M118" s="1539"/>
      <c r="R118" s="460"/>
      <c r="S118" s="460"/>
      <c r="T118" s="460"/>
    </row>
    <row r="119" spans="13:20" s="378" customFormat="1">
      <c r="M119" s="1539"/>
      <c r="R119" s="460"/>
      <c r="S119" s="460"/>
      <c r="T119" s="460"/>
    </row>
    <row r="120" spans="13:20" s="378" customFormat="1">
      <c r="M120" s="1539"/>
      <c r="R120" s="460"/>
      <c r="S120" s="460"/>
      <c r="T120" s="460"/>
    </row>
    <row r="121" spans="13:20" s="378" customFormat="1">
      <c r="M121" s="1539"/>
      <c r="R121" s="460"/>
      <c r="S121" s="460"/>
      <c r="T121" s="460"/>
    </row>
    <row r="122" spans="13:20" s="378" customFormat="1">
      <c r="M122" s="1539"/>
      <c r="R122" s="460"/>
      <c r="S122" s="460"/>
      <c r="T122" s="460"/>
    </row>
    <row r="123" spans="13:20" s="378" customFormat="1">
      <c r="M123" s="1539"/>
      <c r="R123" s="460"/>
      <c r="S123" s="460"/>
      <c r="T123" s="460"/>
    </row>
    <row r="124" spans="13:20" s="378" customFormat="1">
      <c r="M124" s="1539"/>
      <c r="R124" s="460"/>
      <c r="S124" s="460"/>
      <c r="T124" s="460"/>
    </row>
    <row r="125" spans="13:20" s="378" customFormat="1">
      <c r="M125" s="1539"/>
      <c r="R125" s="460"/>
      <c r="S125" s="460"/>
      <c r="T125" s="460"/>
    </row>
    <row r="126" spans="13:20" s="378" customFormat="1">
      <c r="M126" s="1539"/>
      <c r="R126" s="460"/>
      <c r="S126" s="460"/>
      <c r="T126" s="460"/>
    </row>
    <row r="127" spans="13:20" s="378" customFormat="1">
      <c r="M127" s="1539"/>
      <c r="R127" s="460"/>
      <c r="S127" s="460"/>
      <c r="T127" s="460"/>
    </row>
    <row r="128" spans="13:20" s="378" customFormat="1">
      <c r="M128" s="1539"/>
      <c r="R128" s="460"/>
      <c r="S128" s="460"/>
      <c r="T128" s="460"/>
    </row>
    <row r="129" spans="13:20" s="378" customFormat="1">
      <c r="M129" s="1539"/>
      <c r="R129" s="460"/>
      <c r="S129" s="460"/>
      <c r="T129" s="460"/>
    </row>
    <row r="130" spans="13:20" s="378" customFormat="1">
      <c r="M130" s="1539"/>
      <c r="R130" s="460"/>
      <c r="S130" s="460"/>
      <c r="T130" s="460"/>
    </row>
    <row r="131" spans="13:20" s="378" customFormat="1">
      <c r="M131" s="1539"/>
      <c r="R131" s="460"/>
      <c r="S131" s="460"/>
      <c r="T131" s="460"/>
    </row>
    <row r="132" spans="13:20" s="378" customFormat="1">
      <c r="M132" s="1539"/>
      <c r="R132" s="460"/>
      <c r="S132" s="460"/>
      <c r="T132" s="460"/>
    </row>
    <row r="133" spans="13:20" s="378" customFormat="1">
      <c r="M133" s="1539"/>
      <c r="R133" s="460"/>
      <c r="S133" s="460"/>
      <c r="T133" s="460"/>
    </row>
    <row r="134" spans="13:20" s="378" customFormat="1">
      <c r="M134" s="1539"/>
      <c r="R134" s="460"/>
      <c r="S134" s="460"/>
      <c r="T134" s="460"/>
    </row>
    <row r="135" spans="13:20" s="378" customFormat="1">
      <c r="M135" s="1539"/>
      <c r="R135" s="460"/>
      <c r="S135" s="460"/>
      <c r="T135" s="460"/>
    </row>
    <row r="136" spans="13:20" s="378" customFormat="1">
      <c r="M136" s="1539"/>
      <c r="R136" s="460"/>
      <c r="S136" s="460"/>
      <c r="T136" s="460"/>
    </row>
    <row r="137" spans="13:20" s="378" customFormat="1">
      <c r="M137" s="1539"/>
      <c r="R137" s="460"/>
      <c r="S137" s="460"/>
      <c r="T137" s="460"/>
    </row>
    <row r="138" spans="13:20" s="378" customFormat="1">
      <c r="M138" s="1539"/>
      <c r="R138" s="460"/>
      <c r="S138" s="460"/>
      <c r="T138" s="460"/>
    </row>
    <row r="139" spans="13:20" s="378" customFormat="1">
      <c r="M139" s="1539"/>
      <c r="R139" s="460"/>
      <c r="S139" s="460"/>
      <c r="T139" s="460"/>
    </row>
    <row r="140" spans="13:20" s="378" customFormat="1">
      <c r="M140" s="1539"/>
      <c r="R140" s="460"/>
      <c r="S140" s="460"/>
      <c r="T140" s="460"/>
    </row>
    <row r="141" spans="13:20" s="378" customFormat="1">
      <c r="M141" s="1539"/>
      <c r="R141" s="460"/>
      <c r="S141" s="460"/>
      <c r="T141" s="460"/>
    </row>
    <row r="142" spans="13:20" s="378" customFormat="1">
      <c r="M142" s="1539"/>
      <c r="R142" s="460"/>
      <c r="S142" s="460"/>
      <c r="T142" s="460"/>
    </row>
    <row r="143" spans="13:20" s="378" customFormat="1">
      <c r="M143" s="1539"/>
      <c r="R143" s="460"/>
      <c r="S143" s="460"/>
      <c r="T143" s="460"/>
    </row>
    <row r="144" spans="13:20" s="378" customFormat="1">
      <c r="M144" s="1539"/>
      <c r="R144" s="460"/>
      <c r="S144" s="460"/>
      <c r="T144" s="460"/>
    </row>
    <row r="145" spans="13:20" s="378" customFormat="1">
      <c r="M145" s="1539"/>
      <c r="R145" s="460"/>
      <c r="S145" s="460"/>
      <c r="T145" s="460"/>
    </row>
    <row r="146" spans="13:20" s="378" customFormat="1">
      <c r="M146" s="1539"/>
      <c r="R146" s="460"/>
      <c r="S146" s="460"/>
      <c r="T146" s="460"/>
    </row>
    <row r="147" spans="13:20" s="378" customFormat="1">
      <c r="M147" s="1539"/>
      <c r="R147" s="460"/>
      <c r="S147" s="460"/>
      <c r="T147" s="460"/>
    </row>
    <row r="148" spans="13:20" s="378" customFormat="1">
      <c r="M148" s="1539"/>
      <c r="R148" s="460"/>
      <c r="S148" s="460"/>
      <c r="T148" s="460"/>
    </row>
    <row r="149" spans="13:20" s="378" customFormat="1">
      <c r="M149" s="1539"/>
      <c r="R149" s="460"/>
      <c r="S149" s="460"/>
      <c r="T149" s="460"/>
    </row>
    <row r="150" spans="13:20" s="378" customFormat="1">
      <c r="M150" s="1539"/>
      <c r="R150" s="460"/>
      <c r="S150" s="460"/>
      <c r="T150" s="460"/>
    </row>
    <row r="151" spans="13:20" s="378" customFormat="1">
      <c r="M151" s="1539"/>
      <c r="R151" s="460"/>
      <c r="S151" s="460"/>
      <c r="T151" s="460"/>
    </row>
    <row r="152" spans="13:20" s="378" customFormat="1">
      <c r="M152" s="1539"/>
      <c r="R152" s="460"/>
      <c r="S152" s="460"/>
      <c r="T152" s="460"/>
    </row>
    <row r="153" spans="13:20" s="378" customFormat="1">
      <c r="M153" s="1539"/>
      <c r="R153" s="460"/>
      <c r="S153" s="460"/>
      <c r="T153" s="460"/>
    </row>
    <row r="154" spans="13:20" s="378" customFormat="1">
      <c r="M154" s="1539"/>
      <c r="R154" s="460"/>
      <c r="S154" s="460"/>
      <c r="T154" s="460"/>
    </row>
    <row r="155" spans="13:20" s="378" customFormat="1">
      <c r="M155" s="1539"/>
      <c r="R155" s="460"/>
      <c r="S155" s="460"/>
      <c r="T155" s="460"/>
    </row>
    <row r="156" spans="13:20" s="378" customFormat="1">
      <c r="M156" s="1539"/>
      <c r="R156" s="460"/>
      <c r="S156" s="460"/>
      <c r="T156" s="460"/>
    </row>
    <row r="157" spans="13:20" s="378" customFormat="1">
      <c r="M157" s="1539"/>
      <c r="R157" s="460"/>
      <c r="S157" s="460"/>
      <c r="T157" s="460"/>
    </row>
    <row r="158" spans="13:20" s="378" customFormat="1">
      <c r="M158" s="1539"/>
      <c r="R158" s="460"/>
      <c r="S158" s="460"/>
      <c r="T158" s="460"/>
    </row>
    <row r="159" spans="13:20" s="378" customFormat="1">
      <c r="M159" s="1539"/>
      <c r="R159" s="460"/>
      <c r="S159" s="460"/>
      <c r="T159" s="460"/>
    </row>
    <row r="160" spans="13:20" s="378" customFormat="1">
      <c r="M160" s="1539"/>
      <c r="R160" s="460"/>
      <c r="S160" s="460"/>
      <c r="T160" s="460"/>
    </row>
    <row r="161" spans="13:20" s="378" customFormat="1">
      <c r="M161" s="1539"/>
      <c r="R161" s="460"/>
      <c r="S161" s="460"/>
      <c r="T161" s="460"/>
    </row>
    <row r="162" spans="13:20" s="378" customFormat="1">
      <c r="M162" s="1539"/>
      <c r="R162" s="460"/>
      <c r="S162" s="460"/>
      <c r="T162" s="460"/>
    </row>
    <row r="163" spans="13:20" s="378" customFormat="1">
      <c r="M163" s="1539"/>
      <c r="R163" s="460"/>
      <c r="S163" s="460"/>
      <c r="T163" s="460"/>
    </row>
    <row r="164" spans="13:20" s="378" customFormat="1">
      <c r="M164" s="1539"/>
      <c r="R164" s="460"/>
      <c r="S164" s="460"/>
      <c r="T164" s="460"/>
    </row>
    <row r="165" spans="13:20" s="378" customFormat="1">
      <c r="M165" s="1539"/>
      <c r="R165" s="460"/>
      <c r="S165" s="460"/>
      <c r="T165" s="460"/>
    </row>
    <row r="166" spans="13:20" s="378" customFormat="1">
      <c r="M166" s="1539"/>
      <c r="R166" s="460"/>
      <c r="S166" s="460"/>
      <c r="T166" s="460"/>
    </row>
    <row r="167" spans="13:20" s="378" customFormat="1">
      <c r="M167" s="1539"/>
      <c r="R167" s="460"/>
      <c r="S167" s="460"/>
      <c r="T167" s="460"/>
    </row>
    <row r="168" spans="13:20" s="378" customFormat="1">
      <c r="M168" s="1539"/>
      <c r="R168" s="460"/>
      <c r="S168" s="460"/>
      <c r="T168" s="460"/>
    </row>
    <row r="169" spans="13:20" s="378" customFormat="1">
      <c r="M169" s="1539"/>
      <c r="R169" s="460"/>
      <c r="S169" s="460"/>
      <c r="T169" s="460"/>
    </row>
    <row r="170" spans="13:20" s="378" customFormat="1">
      <c r="M170" s="1539"/>
      <c r="R170" s="460"/>
      <c r="S170" s="460"/>
      <c r="T170" s="460"/>
    </row>
    <row r="171" spans="13:20" s="378" customFormat="1">
      <c r="M171" s="1539"/>
      <c r="R171" s="460"/>
      <c r="S171" s="460"/>
      <c r="T171" s="460"/>
    </row>
    <row r="172" spans="13:20" s="378" customFormat="1">
      <c r="M172" s="1539"/>
      <c r="R172" s="460"/>
      <c r="S172" s="460"/>
      <c r="T172" s="460"/>
    </row>
    <row r="173" spans="13:20" s="378" customFormat="1">
      <c r="M173" s="1539"/>
      <c r="R173" s="460"/>
      <c r="S173" s="460"/>
      <c r="T173" s="460"/>
    </row>
    <row r="174" spans="13:20" s="378" customFormat="1">
      <c r="M174" s="1539"/>
      <c r="R174" s="460"/>
      <c r="S174" s="460"/>
      <c r="T174" s="460"/>
    </row>
    <row r="175" spans="13:20" s="378" customFormat="1">
      <c r="M175" s="1539"/>
      <c r="R175" s="460"/>
      <c r="S175" s="460"/>
      <c r="T175" s="460"/>
    </row>
    <row r="176" spans="13:20" s="378" customFormat="1">
      <c r="M176" s="1539"/>
      <c r="R176" s="460"/>
      <c r="S176" s="460"/>
      <c r="T176" s="460"/>
    </row>
    <row r="177" spans="13:20" s="378" customFormat="1">
      <c r="M177" s="1539"/>
      <c r="R177" s="460"/>
      <c r="S177" s="460"/>
      <c r="T177" s="460"/>
    </row>
    <row r="178" spans="13:20" s="378" customFormat="1">
      <c r="M178" s="1539"/>
      <c r="R178" s="460"/>
      <c r="S178" s="460"/>
      <c r="T178" s="460"/>
    </row>
    <row r="179" spans="13:20" s="378" customFormat="1">
      <c r="M179" s="1539"/>
      <c r="R179" s="460"/>
      <c r="S179" s="460"/>
      <c r="T179" s="460"/>
    </row>
    <row r="180" spans="13:20" s="378" customFormat="1">
      <c r="M180" s="1539"/>
      <c r="R180" s="460"/>
      <c r="S180" s="460"/>
      <c r="T180" s="460"/>
    </row>
    <row r="181" spans="13:20" s="378" customFormat="1">
      <c r="M181" s="1539"/>
      <c r="R181" s="460"/>
      <c r="S181" s="460"/>
      <c r="T181" s="460"/>
    </row>
    <row r="182" spans="13:20" s="378" customFormat="1">
      <c r="M182" s="1539"/>
      <c r="R182" s="460"/>
      <c r="S182" s="460"/>
      <c r="T182" s="460"/>
    </row>
    <row r="183" spans="13:20" s="378" customFormat="1">
      <c r="M183" s="1539"/>
      <c r="R183" s="460"/>
      <c r="S183" s="460"/>
      <c r="T183" s="460"/>
    </row>
    <row r="184" spans="13:20" s="378" customFormat="1">
      <c r="M184" s="1539"/>
      <c r="R184" s="460"/>
      <c r="S184" s="460"/>
      <c r="T184" s="460"/>
    </row>
    <row r="185" spans="13:20" s="378" customFormat="1">
      <c r="M185" s="1539"/>
      <c r="R185" s="460"/>
      <c r="S185" s="460"/>
      <c r="T185" s="460"/>
    </row>
    <row r="186" spans="13:20" s="378" customFormat="1">
      <c r="M186" s="1539"/>
      <c r="R186" s="460"/>
      <c r="S186" s="460"/>
      <c r="T186" s="460"/>
    </row>
    <row r="187" spans="13:20" s="378" customFormat="1">
      <c r="M187" s="1539"/>
      <c r="R187" s="460"/>
      <c r="S187" s="460"/>
      <c r="T187" s="460"/>
    </row>
    <row r="188" spans="13:20" s="378" customFormat="1">
      <c r="M188" s="1539"/>
      <c r="R188" s="460"/>
      <c r="S188" s="460"/>
      <c r="T188" s="460"/>
    </row>
    <row r="189" spans="13:20" s="378" customFormat="1">
      <c r="M189" s="1539"/>
      <c r="R189" s="460"/>
      <c r="S189" s="460"/>
      <c r="T189" s="460"/>
    </row>
    <row r="190" spans="13:20" s="378" customFormat="1">
      <c r="M190" s="1539"/>
      <c r="R190" s="460"/>
      <c r="S190" s="460"/>
      <c r="T190" s="460"/>
    </row>
    <row r="191" spans="13:20" s="378" customFormat="1">
      <c r="M191" s="1539"/>
      <c r="R191" s="460"/>
      <c r="S191" s="460"/>
      <c r="T191" s="460"/>
    </row>
    <row r="192" spans="13:20" s="378" customFormat="1">
      <c r="M192" s="1539"/>
      <c r="R192" s="460"/>
      <c r="S192" s="460"/>
      <c r="T192" s="460"/>
    </row>
    <row r="193" spans="13:20" s="378" customFormat="1">
      <c r="M193" s="1539"/>
      <c r="R193" s="460"/>
      <c r="S193" s="460"/>
      <c r="T193" s="460"/>
    </row>
    <row r="194" spans="13:20" s="378" customFormat="1">
      <c r="M194" s="1539"/>
      <c r="R194" s="460"/>
      <c r="S194" s="460"/>
      <c r="T194" s="460"/>
    </row>
    <row r="195" spans="13:20" s="378" customFormat="1">
      <c r="M195" s="1539"/>
      <c r="R195" s="460"/>
      <c r="S195" s="460"/>
      <c r="T195" s="460"/>
    </row>
    <row r="196" spans="13:20" s="378" customFormat="1">
      <c r="M196" s="1539"/>
      <c r="R196" s="460"/>
      <c r="S196" s="460"/>
      <c r="T196" s="460"/>
    </row>
    <row r="197" spans="13:20" s="378" customFormat="1">
      <c r="M197" s="1539"/>
      <c r="R197" s="460"/>
      <c r="S197" s="460"/>
      <c r="T197" s="460"/>
    </row>
    <row r="198" spans="13:20" s="378" customFormat="1">
      <c r="M198" s="1539"/>
      <c r="R198" s="460"/>
      <c r="S198" s="460"/>
      <c r="T198" s="460"/>
    </row>
    <row r="199" spans="13:20" s="378" customFormat="1">
      <c r="M199" s="1539"/>
      <c r="R199" s="460"/>
      <c r="S199" s="460"/>
      <c r="T199" s="460"/>
    </row>
    <row r="200" spans="13:20" s="378" customFormat="1">
      <c r="M200" s="1539"/>
      <c r="R200" s="460"/>
      <c r="S200" s="460"/>
      <c r="T200" s="460"/>
    </row>
    <row r="201" spans="13:20" s="378" customFormat="1">
      <c r="M201" s="1539"/>
      <c r="R201" s="460"/>
      <c r="S201" s="460"/>
      <c r="T201" s="460"/>
    </row>
    <row r="202" spans="13:20" s="378" customFormat="1">
      <c r="M202" s="1539"/>
      <c r="R202" s="460"/>
      <c r="S202" s="460"/>
      <c r="T202" s="460"/>
    </row>
    <row r="203" spans="13:20" s="378" customFormat="1">
      <c r="M203" s="1539"/>
      <c r="R203" s="460"/>
      <c r="S203" s="460"/>
      <c r="T203" s="460"/>
    </row>
    <row r="204" spans="13:20" s="378" customFormat="1">
      <c r="M204" s="1539"/>
      <c r="R204" s="460"/>
      <c r="S204" s="460"/>
      <c r="T204" s="460"/>
    </row>
    <row r="205" spans="13:20" s="378" customFormat="1">
      <c r="M205" s="1539"/>
      <c r="R205" s="460"/>
      <c r="S205" s="460"/>
      <c r="T205" s="460"/>
    </row>
    <row r="206" spans="13:20" s="378" customFormat="1">
      <c r="M206" s="1539"/>
      <c r="R206" s="460"/>
      <c r="S206" s="460"/>
      <c r="T206" s="460"/>
    </row>
    <row r="207" spans="13:20" s="378" customFormat="1">
      <c r="M207" s="1539"/>
      <c r="R207" s="460"/>
      <c r="S207" s="460"/>
      <c r="T207" s="460"/>
    </row>
    <row r="208" spans="13:20" s="378" customFormat="1">
      <c r="M208" s="1539"/>
      <c r="R208" s="460"/>
      <c r="S208" s="460"/>
      <c r="T208" s="460"/>
    </row>
    <row r="209" spans="13:20" s="378" customFormat="1">
      <c r="M209" s="1539"/>
      <c r="R209" s="460"/>
      <c r="S209" s="460"/>
      <c r="T209" s="460"/>
    </row>
    <row r="210" spans="13:20" s="378" customFormat="1">
      <c r="M210" s="1539"/>
      <c r="R210" s="460"/>
      <c r="S210" s="460"/>
      <c r="T210" s="460"/>
    </row>
    <row r="211" spans="13:20" s="378" customFormat="1">
      <c r="M211" s="1539"/>
      <c r="R211" s="460"/>
      <c r="S211" s="460"/>
      <c r="T211" s="460"/>
    </row>
    <row r="212" spans="13:20" s="378" customFormat="1">
      <c r="M212" s="1539"/>
      <c r="R212" s="460"/>
      <c r="S212" s="460"/>
      <c r="T212" s="460"/>
    </row>
    <row r="213" spans="13:20" s="378" customFormat="1">
      <c r="M213" s="1539"/>
      <c r="R213" s="460"/>
      <c r="S213" s="460"/>
      <c r="T213" s="460"/>
    </row>
    <row r="214" spans="13:20" s="378" customFormat="1">
      <c r="M214" s="1539"/>
      <c r="R214" s="460"/>
      <c r="S214" s="460"/>
      <c r="T214" s="460"/>
    </row>
    <row r="215" spans="13:20" s="378" customFormat="1">
      <c r="M215" s="1539"/>
      <c r="R215" s="460"/>
      <c r="S215" s="460"/>
      <c r="T215" s="460"/>
    </row>
    <row r="216" spans="13:20" s="378" customFormat="1">
      <c r="M216" s="1539"/>
      <c r="R216" s="460"/>
      <c r="S216" s="460"/>
      <c r="T216" s="460"/>
    </row>
    <row r="217" spans="13:20" s="378" customFormat="1">
      <c r="M217" s="1539"/>
      <c r="R217" s="460"/>
      <c r="S217" s="460"/>
      <c r="T217" s="460"/>
    </row>
    <row r="218" spans="13:20" s="378" customFormat="1">
      <c r="M218" s="1539"/>
      <c r="R218" s="460"/>
      <c r="S218" s="460"/>
      <c r="T218" s="460"/>
    </row>
    <row r="219" spans="13:20" s="378" customFormat="1">
      <c r="M219" s="1539"/>
      <c r="R219" s="460"/>
      <c r="S219" s="460"/>
      <c r="T219" s="460"/>
    </row>
    <row r="220" spans="13:20" s="378" customFormat="1">
      <c r="M220" s="1539"/>
      <c r="R220" s="460"/>
      <c r="S220" s="460"/>
      <c r="T220" s="460"/>
    </row>
    <row r="221" spans="13:20" s="378" customFormat="1">
      <c r="M221" s="1539"/>
      <c r="R221" s="460"/>
      <c r="S221" s="460"/>
      <c r="T221" s="460"/>
    </row>
    <row r="222" spans="13:20" s="378" customFormat="1">
      <c r="M222" s="1539"/>
      <c r="R222" s="460"/>
      <c r="S222" s="460"/>
      <c r="T222" s="460"/>
    </row>
    <row r="223" spans="13:20" s="378" customFormat="1">
      <c r="M223" s="1539"/>
      <c r="R223" s="460"/>
      <c r="S223" s="460"/>
      <c r="T223" s="460"/>
    </row>
    <row r="224" spans="13:20" s="378" customFormat="1">
      <c r="M224" s="1539"/>
      <c r="R224" s="460"/>
      <c r="S224" s="460"/>
      <c r="T224" s="460"/>
    </row>
    <row r="225" spans="13:20" s="378" customFormat="1">
      <c r="M225" s="1539"/>
      <c r="R225" s="460"/>
      <c r="S225" s="460"/>
      <c r="T225" s="460"/>
    </row>
    <row r="226" spans="13:20" s="378" customFormat="1">
      <c r="M226" s="1539"/>
      <c r="R226" s="460"/>
      <c r="S226" s="460"/>
      <c r="T226" s="460"/>
    </row>
    <row r="227" spans="13:20" s="378" customFormat="1">
      <c r="M227" s="1539"/>
      <c r="R227" s="460"/>
      <c r="S227" s="460"/>
      <c r="T227" s="460"/>
    </row>
    <row r="228" spans="13:20" s="378" customFormat="1">
      <c r="M228" s="1539"/>
      <c r="R228" s="460"/>
      <c r="S228" s="460"/>
      <c r="T228" s="460"/>
    </row>
    <row r="229" spans="13:20" s="378" customFormat="1">
      <c r="M229" s="1539"/>
      <c r="R229" s="460"/>
      <c r="S229" s="460"/>
      <c r="T229" s="460"/>
    </row>
    <row r="230" spans="13:20" s="378" customFormat="1">
      <c r="M230" s="1539"/>
      <c r="R230" s="460"/>
      <c r="S230" s="460"/>
      <c r="T230" s="460"/>
    </row>
    <row r="231" spans="13:20" s="378" customFormat="1">
      <c r="M231" s="1539"/>
      <c r="R231" s="460"/>
      <c r="S231" s="460"/>
      <c r="T231" s="460"/>
    </row>
    <row r="232" spans="13:20" s="378" customFormat="1">
      <c r="M232" s="1539"/>
      <c r="R232" s="460"/>
      <c r="S232" s="460"/>
      <c r="T232" s="460"/>
    </row>
    <row r="233" spans="13:20" s="378" customFormat="1">
      <c r="M233" s="1539"/>
      <c r="R233" s="460"/>
      <c r="S233" s="460"/>
      <c r="T233" s="460"/>
    </row>
    <row r="234" spans="13:20" s="378" customFormat="1">
      <c r="M234" s="1539"/>
      <c r="R234" s="460"/>
      <c r="S234" s="460"/>
      <c r="T234" s="460"/>
    </row>
    <row r="235" spans="13:20" s="378" customFormat="1">
      <c r="M235" s="1539"/>
      <c r="R235" s="460"/>
      <c r="S235" s="460"/>
      <c r="T235" s="460"/>
    </row>
    <row r="236" spans="13:20" s="378" customFormat="1">
      <c r="M236" s="1539"/>
      <c r="R236" s="460"/>
      <c r="S236" s="460"/>
      <c r="T236" s="460"/>
    </row>
    <row r="237" spans="13:20" s="378" customFormat="1">
      <c r="M237" s="1539"/>
      <c r="R237" s="460"/>
      <c r="S237" s="460"/>
      <c r="T237" s="460"/>
    </row>
    <row r="238" spans="13:20" s="378" customFormat="1">
      <c r="M238" s="1539"/>
      <c r="R238" s="460"/>
      <c r="S238" s="460"/>
      <c r="T238" s="460"/>
    </row>
    <row r="239" spans="13:20" s="378" customFormat="1">
      <c r="M239" s="1539"/>
      <c r="R239" s="460"/>
      <c r="S239" s="460"/>
      <c r="T239" s="460"/>
    </row>
    <row r="240" spans="13:20" s="378" customFormat="1">
      <c r="M240" s="1539"/>
      <c r="R240" s="460"/>
      <c r="S240" s="460"/>
      <c r="T240" s="460"/>
    </row>
    <row r="241" spans="13:20" s="378" customFormat="1">
      <c r="M241" s="1539"/>
      <c r="R241" s="460"/>
      <c r="S241" s="460"/>
      <c r="T241" s="460"/>
    </row>
    <row r="242" spans="13:20" s="378" customFormat="1">
      <c r="M242" s="1539"/>
      <c r="R242" s="460"/>
      <c r="S242" s="460"/>
      <c r="T242" s="460"/>
    </row>
    <row r="243" spans="13:20" s="378" customFormat="1">
      <c r="M243" s="1539"/>
      <c r="R243" s="460"/>
      <c r="S243" s="460"/>
      <c r="T243" s="460"/>
    </row>
    <row r="244" spans="13:20" s="378" customFormat="1">
      <c r="M244" s="1539"/>
      <c r="R244" s="460"/>
      <c r="S244" s="460"/>
      <c r="T244" s="460"/>
    </row>
    <row r="245" spans="13:20" s="378" customFormat="1">
      <c r="M245" s="1539"/>
      <c r="R245" s="460"/>
      <c r="S245" s="460"/>
      <c r="T245" s="460"/>
    </row>
    <row r="246" spans="13:20" s="378" customFormat="1">
      <c r="M246" s="1539"/>
      <c r="R246" s="460"/>
      <c r="S246" s="460"/>
      <c r="T246" s="460"/>
    </row>
    <row r="247" spans="13:20" s="378" customFormat="1">
      <c r="M247" s="1539"/>
      <c r="R247" s="460"/>
      <c r="S247" s="460"/>
      <c r="T247" s="460"/>
    </row>
    <row r="248" spans="13:20" s="378" customFormat="1">
      <c r="M248" s="1539"/>
      <c r="R248" s="460"/>
      <c r="S248" s="460"/>
      <c r="T248" s="460"/>
    </row>
    <row r="249" spans="13:20" s="378" customFormat="1">
      <c r="M249" s="1539"/>
      <c r="R249" s="460"/>
      <c r="S249" s="460"/>
      <c r="T249" s="460"/>
    </row>
    <row r="250" spans="13:20" s="378" customFormat="1">
      <c r="M250" s="1539"/>
      <c r="R250" s="460"/>
      <c r="S250" s="460"/>
      <c r="T250" s="460"/>
    </row>
    <row r="251" spans="13:20" s="378" customFormat="1">
      <c r="M251" s="1539"/>
      <c r="R251" s="460"/>
      <c r="S251" s="460"/>
      <c r="T251" s="460"/>
    </row>
    <row r="252" spans="13:20" s="378" customFormat="1">
      <c r="M252" s="1539"/>
      <c r="R252" s="460"/>
      <c r="S252" s="460"/>
      <c r="T252" s="460"/>
    </row>
    <row r="253" spans="13:20" s="378" customFormat="1">
      <c r="M253" s="1539"/>
      <c r="R253" s="460"/>
      <c r="S253" s="460"/>
      <c r="T253" s="460"/>
    </row>
    <row r="254" spans="13:20" s="378" customFormat="1">
      <c r="M254" s="1539"/>
      <c r="R254" s="460"/>
      <c r="S254" s="460"/>
      <c r="T254" s="460"/>
    </row>
    <row r="255" spans="13:20" s="378" customFormat="1">
      <c r="M255" s="1539"/>
      <c r="R255" s="460"/>
      <c r="S255" s="460"/>
      <c r="T255" s="460"/>
    </row>
    <row r="256" spans="13:20" s="378" customFormat="1">
      <c r="M256" s="1539"/>
      <c r="R256" s="460"/>
      <c r="S256" s="460"/>
      <c r="T256" s="460"/>
    </row>
    <row r="257" spans="13:20" s="378" customFormat="1">
      <c r="M257" s="1539"/>
      <c r="R257" s="460"/>
      <c r="S257" s="460"/>
      <c r="T257" s="460"/>
    </row>
    <row r="258" spans="13:20" s="378" customFormat="1">
      <c r="M258" s="1539"/>
      <c r="R258" s="460"/>
      <c r="S258" s="460"/>
      <c r="T258" s="460"/>
    </row>
    <row r="259" spans="13:20" s="378" customFormat="1">
      <c r="M259" s="1539"/>
      <c r="R259" s="460"/>
      <c r="S259" s="460"/>
      <c r="T259" s="460"/>
    </row>
    <row r="260" spans="13:20" s="378" customFormat="1">
      <c r="M260" s="1539"/>
      <c r="R260" s="460"/>
      <c r="S260" s="460"/>
      <c r="T260" s="460"/>
    </row>
    <row r="261" spans="13:20" s="378" customFormat="1">
      <c r="M261" s="1539"/>
      <c r="R261" s="460"/>
      <c r="S261" s="460"/>
      <c r="T261" s="460"/>
    </row>
    <row r="262" spans="13:20" s="378" customFormat="1">
      <c r="M262" s="1539"/>
      <c r="R262" s="460"/>
      <c r="S262" s="460"/>
      <c r="T262" s="460"/>
    </row>
    <row r="263" spans="13:20" s="378" customFormat="1">
      <c r="M263" s="1539"/>
      <c r="R263" s="460"/>
      <c r="S263" s="460"/>
      <c r="T263" s="460"/>
    </row>
    <row r="264" spans="13:20" s="378" customFormat="1">
      <c r="M264" s="1539"/>
      <c r="R264" s="460"/>
      <c r="S264" s="460"/>
      <c r="T264" s="460"/>
    </row>
    <row r="265" spans="13:20" s="378" customFormat="1">
      <c r="M265" s="1539"/>
      <c r="R265" s="460"/>
      <c r="S265" s="460"/>
      <c r="T265" s="460"/>
    </row>
    <row r="266" spans="13:20" s="378" customFormat="1">
      <c r="M266" s="1539"/>
      <c r="R266" s="460"/>
      <c r="S266" s="460"/>
      <c r="T266" s="460"/>
    </row>
    <row r="267" spans="13:20" s="378" customFormat="1">
      <c r="M267" s="1539"/>
      <c r="R267" s="460"/>
      <c r="S267" s="460"/>
      <c r="T267" s="460"/>
    </row>
    <row r="268" spans="13:20" s="378" customFormat="1">
      <c r="M268" s="1539"/>
      <c r="R268" s="460"/>
      <c r="S268" s="460"/>
      <c r="T268" s="460"/>
    </row>
    <row r="269" spans="13:20" s="378" customFormat="1">
      <c r="M269" s="1539"/>
      <c r="R269" s="460"/>
      <c r="S269" s="460"/>
      <c r="T269" s="460"/>
    </row>
    <row r="270" spans="13:20" s="378" customFormat="1">
      <c r="M270" s="1539"/>
      <c r="R270" s="460"/>
      <c r="S270" s="460"/>
      <c r="T270" s="460"/>
    </row>
    <row r="271" spans="13:20" s="378" customFormat="1">
      <c r="M271" s="1539"/>
      <c r="R271" s="460"/>
      <c r="S271" s="460"/>
      <c r="T271" s="460"/>
    </row>
    <row r="272" spans="13:20" s="378" customFormat="1">
      <c r="M272" s="1539"/>
      <c r="R272" s="460"/>
      <c r="S272" s="460"/>
      <c r="T272" s="460"/>
    </row>
    <row r="273" spans="13:20" s="378" customFormat="1">
      <c r="M273" s="1539"/>
      <c r="R273" s="460"/>
      <c r="S273" s="460"/>
      <c r="T273" s="460"/>
    </row>
    <row r="274" spans="13:20" s="378" customFormat="1">
      <c r="M274" s="1539"/>
      <c r="R274" s="460"/>
      <c r="S274" s="460"/>
      <c r="T274" s="460"/>
    </row>
    <row r="275" spans="13:20" s="378" customFormat="1">
      <c r="M275" s="1539"/>
      <c r="R275" s="460"/>
      <c r="S275" s="460"/>
      <c r="T275" s="460"/>
    </row>
    <row r="276" spans="13:20" s="378" customFormat="1">
      <c r="M276" s="1539"/>
      <c r="R276" s="460"/>
      <c r="S276" s="460"/>
      <c r="T276" s="460"/>
    </row>
    <row r="277" spans="13:20" s="378" customFormat="1">
      <c r="M277" s="1539"/>
      <c r="R277" s="460"/>
      <c r="S277" s="460"/>
      <c r="T277" s="460"/>
    </row>
    <row r="278" spans="13:20" s="378" customFormat="1">
      <c r="M278" s="1539"/>
      <c r="R278" s="460"/>
      <c r="S278" s="460"/>
      <c r="T278" s="460"/>
    </row>
    <row r="279" spans="13:20" s="378" customFormat="1">
      <c r="M279" s="1539"/>
      <c r="R279" s="460"/>
      <c r="S279" s="460"/>
      <c r="T279" s="460"/>
    </row>
    <row r="280" spans="13:20" s="378" customFormat="1">
      <c r="M280" s="1539"/>
      <c r="R280" s="460"/>
      <c r="S280" s="460"/>
      <c r="T280" s="460"/>
    </row>
    <row r="281" spans="13:20" s="378" customFormat="1">
      <c r="M281" s="1539"/>
      <c r="R281" s="460"/>
      <c r="S281" s="460"/>
      <c r="T281" s="460"/>
    </row>
    <row r="282" spans="13:20" s="378" customFormat="1">
      <c r="M282" s="1539"/>
      <c r="R282" s="460"/>
      <c r="S282" s="460"/>
      <c r="T282" s="460"/>
    </row>
    <row r="283" spans="13:20" s="378" customFormat="1">
      <c r="M283" s="1539"/>
      <c r="R283" s="460"/>
      <c r="S283" s="460"/>
      <c r="T283" s="460"/>
    </row>
    <row r="284" spans="13:20" s="378" customFormat="1">
      <c r="M284" s="1539"/>
      <c r="R284" s="460"/>
      <c r="S284" s="460"/>
      <c r="T284" s="460"/>
    </row>
    <row r="285" spans="13:20" s="378" customFormat="1">
      <c r="M285" s="1539"/>
      <c r="R285" s="460"/>
      <c r="S285" s="460"/>
      <c r="T285" s="460"/>
    </row>
    <row r="286" spans="13:20" s="378" customFormat="1">
      <c r="M286" s="1539"/>
      <c r="R286" s="460"/>
      <c r="S286" s="460"/>
      <c r="T286" s="460"/>
    </row>
    <row r="287" spans="13:20" s="378" customFormat="1">
      <c r="M287" s="1539"/>
      <c r="R287" s="460"/>
      <c r="S287" s="460"/>
      <c r="T287" s="460"/>
    </row>
    <row r="288" spans="13:20" s="378" customFormat="1">
      <c r="M288" s="1539"/>
      <c r="R288" s="460"/>
      <c r="S288" s="460"/>
      <c r="T288" s="460"/>
    </row>
    <row r="289" spans="13:20" s="378" customFormat="1">
      <c r="M289" s="1539"/>
      <c r="R289" s="460"/>
      <c r="S289" s="460"/>
      <c r="T289" s="460"/>
    </row>
    <row r="290" spans="13:20" s="378" customFormat="1">
      <c r="M290" s="1539"/>
      <c r="R290" s="460"/>
      <c r="S290" s="460"/>
      <c r="T290" s="460"/>
    </row>
    <row r="291" spans="13:20" s="378" customFormat="1">
      <c r="M291" s="1539"/>
      <c r="R291" s="460"/>
      <c r="S291" s="460"/>
      <c r="T291" s="460"/>
    </row>
    <row r="292" spans="13:20" s="378" customFormat="1">
      <c r="M292" s="1539"/>
      <c r="R292" s="460"/>
      <c r="S292" s="460"/>
      <c r="T292" s="460"/>
    </row>
    <row r="293" spans="13:20" s="378" customFormat="1">
      <c r="M293" s="1539"/>
      <c r="R293" s="460"/>
      <c r="S293" s="460"/>
      <c r="T293" s="460"/>
    </row>
    <row r="294" spans="13:20" s="378" customFormat="1">
      <c r="M294" s="1539"/>
      <c r="R294" s="460"/>
      <c r="S294" s="460"/>
      <c r="T294" s="460"/>
    </row>
    <row r="295" spans="13:20" s="378" customFormat="1">
      <c r="M295" s="1539"/>
      <c r="R295" s="460"/>
      <c r="S295" s="460"/>
      <c r="T295" s="460"/>
    </row>
    <row r="296" spans="13:20" s="378" customFormat="1">
      <c r="M296" s="1539"/>
      <c r="R296" s="460"/>
      <c r="S296" s="460"/>
      <c r="T296" s="460"/>
    </row>
    <row r="297" spans="13:20" s="378" customFormat="1">
      <c r="M297" s="1539"/>
      <c r="R297" s="460"/>
      <c r="S297" s="460"/>
      <c r="T297" s="460"/>
    </row>
    <row r="298" spans="13:20" s="378" customFormat="1">
      <c r="M298" s="1539"/>
      <c r="R298" s="460"/>
      <c r="S298" s="460"/>
      <c r="T298" s="460"/>
    </row>
    <row r="299" spans="13:20" s="378" customFormat="1">
      <c r="M299" s="1539"/>
      <c r="R299" s="460"/>
      <c r="S299" s="460"/>
      <c r="T299" s="460"/>
    </row>
    <row r="300" spans="13:20" s="378" customFormat="1">
      <c r="M300" s="1539"/>
      <c r="R300" s="460"/>
      <c r="S300" s="460"/>
      <c r="T300" s="460"/>
    </row>
    <row r="301" spans="13:20" s="378" customFormat="1">
      <c r="M301" s="1539"/>
      <c r="R301" s="460"/>
      <c r="S301" s="460"/>
      <c r="T301" s="460"/>
    </row>
    <row r="302" spans="13:20" s="378" customFormat="1">
      <c r="M302" s="1539"/>
      <c r="R302" s="460"/>
      <c r="S302" s="460"/>
      <c r="T302" s="460"/>
    </row>
    <row r="303" spans="13:20" s="378" customFormat="1">
      <c r="M303" s="1539"/>
      <c r="R303" s="460"/>
      <c r="S303" s="460"/>
      <c r="T303" s="460"/>
    </row>
    <row r="304" spans="13:20" s="378" customFormat="1">
      <c r="M304" s="1539"/>
      <c r="R304" s="460"/>
      <c r="S304" s="460"/>
      <c r="T304" s="460"/>
    </row>
    <row r="305" spans="13:20" s="378" customFormat="1">
      <c r="M305" s="1539"/>
      <c r="R305" s="460"/>
      <c r="S305" s="460"/>
      <c r="T305" s="460"/>
    </row>
    <row r="306" spans="13:20" s="378" customFormat="1">
      <c r="M306" s="1539"/>
      <c r="R306" s="460"/>
      <c r="S306" s="460"/>
      <c r="T306" s="460"/>
    </row>
    <row r="307" spans="13:20" s="378" customFormat="1">
      <c r="M307" s="1539"/>
      <c r="R307" s="460"/>
      <c r="S307" s="460"/>
      <c r="T307" s="460"/>
    </row>
    <row r="308" spans="13:20" s="378" customFormat="1">
      <c r="M308" s="1539"/>
      <c r="R308" s="460"/>
      <c r="S308" s="460"/>
      <c r="T308" s="460"/>
    </row>
    <row r="309" spans="13:20" s="378" customFormat="1">
      <c r="M309" s="1539"/>
      <c r="R309" s="460"/>
      <c r="S309" s="460"/>
      <c r="T309" s="460"/>
    </row>
    <row r="310" spans="13:20" s="378" customFormat="1">
      <c r="M310" s="1539"/>
      <c r="R310" s="460"/>
      <c r="S310" s="460"/>
      <c r="T310" s="460"/>
    </row>
    <row r="311" spans="13:20" s="378" customFormat="1">
      <c r="M311" s="1539"/>
      <c r="R311" s="460"/>
      <c r="S311" s="460"/>
      <c r="T311" s="460"/>
    </row>
    <row r="312" spans="13:20" s="378" customFormat="1">
      <c r="M312" s="1539"/>
      <c r="R312" s="460"/>
      <c r="S312" s="460"/>
      <c r="T312" s="460"/>
    </row>
    <row r="313" spans="13:20" s="378" customFormat="1">
      <c r="M313" s="1539"/>
      <c r="R313" s="460"/>
      <c r="S313" s="460"/>
      <c r="T313" s="460"/>
    </row>
    <row r="314" spans="13:20" s="378" customFormat="1">
      <c r="M314" s="1539"/>
      <c r="R314" s="460"/>
      <c r="S314" s="460"/>
      <c r="T314" s="460"/>
    </row>
    <row r="315" spans="13:20" s="378" customFormat="1">
      <c r="M315" s="1539"/>
      <c r="R315" s="460"/>
      <c r="S315" s="460"/>
      <c r="T315" s="460"/>
    </row>
    <row r="316" spans="13:20" s="378" customFormat="1">
      <c r="M316" s="1539"/>
      <c r="R316" s="460"/>
      <c r="S316" s="460"/>
      <c r="T316" s="460"/>
    </row>
    <row r="317" spans="13:20" s="378" customFormat="1">
      <c r="M317" s="1539"/>
      <c r="R317" s="460"/>
      <c r="S317" s="460"/>
      <c r="T317" s="460"/>
    </row>
    <row r="318" spans="13:20" s="378" customFormat="1">
      <c r="M318" s="1539"/>
      <c r="R318" s="460"/>
      <c r="S318" s="460"/>
      <c r="T318" s="460"/>
    </row>
    <row r="319" spans="13:20" s="378" customFormat="1">
      <c r="M319" s="1539"/>
      <c r="R319" s="460"/>
      <c r="S319" s="460"/>
      <c r="T319" s="460"/>
    </row>
    <row r="320" spans="13:20" s="378" customFormat="1">
      <c r="M320" s="1539"/>
      <c r="R320" s="460"/>
      <c r="S320" s="460"/>
      <c r="T320" s="460"/>
    </row>
    <row r="321" spans="13:20" s="378" customFormat="1">
      <c r="M321" s="1539"/>
      <c r="R321" s="460"/>
      <c r="S321" s="460"/>
      <c r="T321" s="460"/>
    </row>
    <row r="322" spans="13:20" s="378" customFormat="1">
      <c r="M322" s="1539"/>
      <c r="R322" s="460"/>
      <c r="S322" s="460"/>
      <c r="T322" s="460"/>
    </row>
    <row r="323" spans="13:20" s="378" customFormat="1">
      <c r="M323" s="1539"/>
      <c r="R323" s="460"/>
      <c r="S323" s="460"/>
      <c r="T323" s="460"/>
    </row>
    <row r="324" spans="13:20" s="378" customFormat="1">
      <c r="M324" s="1539"/>
      <c r="R324" s="460"/>
      <c r="S324" s="460"/>
      <c r="T324" s="460"/>
    </row>
    <row r="325" spans="13:20" s="378" customFormat="1">
      <c r="M325" s="1539"/>
      <c r="R325" s="460"/>
      <c r="S325" s="460"/>
      <c r="T325" s="460"/>
    </row>
    <row r="326" spans="13:20" s="378" customFormat="1">
      <c r="M326" s="1539"/>
      <c r="R326" s="460"/>
      <c r="S326" s="460"/>
      <c r="T326" s="460"/>
    </row>
    <row r="327" spans="13:20" s="378" customFormat="1">
      <c r="M327" s="1539"/>
      <c r="R327" s="460"/>
      <c r="S327" s="460"/>
      <c r="T327" s="460"/>
    </row>
    <row r="328" spans="13:20" s="378" customFormat="1">
      <c r="M328" s="1539"/>
      <c r="R328" s="460"/>
      <c r="S328" s="460"/>
      <c r="T328" s="460"/>
    </row>
    <row r="329" spans="13:20" s="378" customFormat="1">
      <c r="M329" s="1539"/>
      <c r="R329" s="460"/>
      <c r="S329" s="460"/>
      <c r="T329" s="460"/>
    </row>
    <row r="330" spans="13:20" s="378" customFormat="1">
      <c r="M330" s="1539"/>
      <c r="R330" s="460"/>
      <c r="S330" s="460"/>
      <c r="T330" s="460"/>
    </row>
    <row r="331" spans="13:20" s="378" customFormat="1">
      <c r="M331" s="1539"/>
      <c r="R331" s="460"/>
      <c r="S331" s="460"/>
      <c r="T331" s="460"/>
    </row>
    <row r="332" spans="13:20" s="378" customFormat="1">
      <c r="M332" s="1539"/>
      <c r="R332" s="460"/>
      <c r="S332" s="460"/>
      <c r="T332" s="460"/>
    </row>
    <row r="333" spans="13:20" s="378" customFormat="1">
      <c r="M333" s="1539"/>
      <c r="R333" s="460"/>
      <c r="S333" s="460"/>
      <c r="T333" s="460"/>
    </row>
    <row r="334" spans="13:20" s="378" customFormat="1">
      <c r="M334" s="1539"/>
      <c r="R334" s="460"/>
      <c r="S334" s="460"/>
      <c r="T334" s="460"/>
    </row>
    <row r="335" spans="13:20" s="378" customFormat="1">
      <c r="M335" s="1539"/>
      <c r="R335" s="460"/>
      <c r="S335" s="460"/>
      <c r="T335" s="460"/>
    </row>
    <row r="336" spans="13:20" s="378" customFormat="1">
      <c r="M336" s="1539"/>
      <c r="R336" s="460"/>
      <c r="S336" s="460"/>
      <c r="T336" s="460"/>
    </row>
    <row r="337" spans="13:20" s="378" customFormat="1">
      <c r="M337" s="1539"/>
      <c r="R337" s="460"/>
      <c r="S337" s="460"/>
      <c r="T337" s="460"/>
    </row>
    <row r="338" spans="13:20" s="378" customFormat="1">
      <c r="M338" s="1539"/>
      <c r="R338" s="460"/>
      <c r="S338" s="460"/>
      <c r="T338" s="460"/>
    </row>
    <row r="339" spans="13:20" s="378" customFormat="1">
      <c r="M339" s="1539"/>
      <c r="R339" s="460"/>
      <c r="S339" s="460"/>
      <c r="T339" s="460"/>
    </row>
    <row r="340" spans="13:20" s="378" customFormat="1">
      <c r="M340" s="1539"/>
      <c r="R340" s="460"/>
      <c r="S340" s="460"/>
      <c r="T340" s="460"/>
    </row>
    <row r="341" spans="13:20" s="378" customFormat="1">
      <c r="M341" s="1539"/>
      <c r="R341" s="460"/>
      <c r="S341" s="460"/>
      <c r="T341" s="460"/>
    </row>
    <row r="342" spans="13:20" s="378" customFormat="1">
      <c r="M342" s="1539"/>
      <c r="R342" s="460"/>
      <c r="S342" s="460"/>
      <c r="T342" s="460"/>
    </row>
    <row r="343" spans="13:20" s="378" customFormat="1">
      <c r="M343" s="1539"/>
      <c r="R343" s="460"/>
      <c r="S343" s="460"/>
      <c r="T343" s="460"/>
    </row>
    <row r="344" spans="13:20" s="378" customFormat="1">
      <c r="M344" s="1539"/>
      <c r="R344" s="460"/>
      <c r="S344" s="460"/>
      <c r="T344" s="460"/>
    </row>
    <row r="345" spans="13:20" s="378" customFormat="1">
      <c r="M345" s="1539"/>
      <c r="R345" s="460"/>
      <c r="S345" s="460"/>
      <c r="T345" s="460"/>
    </row>
    <row r="346" spans="13:20" s="378" customFormat="1">
      <c r="M346" s="1539"/>
      <c r="R346" s="460"/>
      <c r="S346" s="460"/>
      <c r="T346" s="460"/>
    </row>
    <row r="347" spans="13:20" s="378" customFormat="1">
      <c r="M347" s="1539"/>
      <c r="R347" s="460"/>
      <c r="S347" s="460"/>
      <c r="T347" s="460"/>
    </row>
    <row r="348" spans="13:20" s="378" customFormat="1">
      <c r="M348" s="1539"/>
      <c r="R348" s="460"/>
      <c r="S348" s="460"/>
      <c r="T348" s="460"/>
    </row>
    <row r="349" spans="13:20" s="378" customFormat="1">
      <c r="M349" s="1539"/>
      <c r="R349" s="460"/>
      <c r="S349" s="460"/>
      <c r="T349" s="460"/>
    </row>
    <row r="350" spans="13:20" s="378" customFormat="1">
      <c r="M350" s="1539"/>
      <c r="R350" s="460"/>
      <c r="S350" s="460"/>
      <c r="T350" s="460"/>
    </row>
    <row r="351" spans="13:20" s="378" customFormat="1">
      <c r="M351" s="1539"/>
      <c r="R351" s="460"/>
      <c r="S351" s="460"/>
      <c r="T351" s="460"/>
    </row>
    <row r="352" spans="13:20" s="378" customFormat="1">
      <c r="M352" s="1539"/>
      <c r="R352" s="460"/>
      <c r="S352" s="460"/>
      <c r="T352" s="460"/>
    </row>
    <row r="353" spans="13:20" s="378" customFormat="1">
      <c r="M353" s="1539"/>
      <c r="R353" s="460"/>
      <c r="S353" s="460"/>
      <c r="T353" s="460"/>
    </row>
    <row r="354" spans="13:20" s="378" customFormat="1">
      <c r="M354" s="1539"/>
      <c r="R354" s="460"/>
      <c r="S354" s="460"/>
      <c r="T354" s="460"/>
    </row>
    <row r="355" spans="13:20" s="378" customFormat="1">
      <c r="M355" s="1539"/>
      <c r="R355" s="460"/>
      <c r="S355" s="460"/>
      <c r="T355" s="460"/>
    </row>
    <row r="356" spans="13:20" s="378" customFormat="1">
      <c r="M356" s="1539"/>
      <c r="R356" s="460"/>
      <c r="S356" s="460"/>
      <c r="T356" s="460"/>
    </row>
    <row r="357" spans="13:20" s="378" customFormat="1">
      <c r="M357" s="1539"/>
      <c r="R357" s="460"/>
      <c r="S357" s="460"/>
      <c r="T357" s="460"/>
    </row>
    <row r="358" spans="13:20" s="378" customFormat="1">
      <c r="M358" s="1539"/>
      <c r="R358" s="460"/>
      <c r="S358" s="460"/>
      <c r="T358" s="460"/>
    </row>
    <row r="359" spans="13:20" s="378" customFormat="1">
      <c r="M359" s="1539"/>
      <c r="R359" s="460"/>
      <c r="S359" s="460"/>
      <c r="T359" s="460"/>
    </row>
    <row r="360" spans="13:20" s="378" customFormat="1">
      <c r="M360" s="1539"/>
      <c r="R360" s="460"/>
      <c r="S360" s="460"/>
      <c r="T360" s="460"/>
    </row>
    <row r="361" spans="13:20" s="378" customFormat="1">
      <c r="M361" s="1539"/>
      <c r="R361" s="460"/>
      <c r="S361" s="460"/>
      <c r="T361" s="460"/>
    </row>
    <row r="362" spans="13:20" s="378" customFormat="1">
      <c r="M362" s="1539"/>
      <c r="R362" s="460"/>
      <c r="S362" s="460"/>
      <c r="T362" s="460"/>
    </row>
    <row r="363" spans="13:20" s="378" customFormat="1">
      <c r="M363" s="1539"/>
      <c r="R363" s="460"/>
      <c r="S363" s="460"/>
      <c r="T363" s="460"/>
    </row>
    <row r="364" spans="13:20" s="378" customFormat="1">
      <c r="M364" s="1539"/>
      <c r="R364" s="460"/>
      <c r="S364" s="460"/>
      <c r="T364" s="460"/>
    </row>
    <row r="365" spans="13:20" s="378" customFormat="1">
      <c r="M365" s="1539"/>
      <c r="R365" s="460"/>
      <c r="S365" s="460"/>
      <c r="T365" s="460"/>
    </row>
    <row r="366" spans="13:20" s="378" customFormat="1">
      <c r="M366" s="1539"/>
      <c r="R366" s="460"/>
      <c r="S366" s="460"/>
      <c r="T366" s="460"/>
    </row>
    <row r="367" spans="13:20" s="378" customFormat="1">
      <c r="M367" s="1539"/>
      <c r="R367" s="460"/>
      <c r="S367" s="460"/>
      <c r="T367" s="460"/>
    </row>
    <row r="368" spans="13:20" s="378" customFormat="1">
      <c r="M368" s="1539"/>
      <c r="R368" s="460"/>
      <c r="S368" s="460"/>
      <c r="T368" s="460"/>
    </row>
    <row r="369" spans="13:20" s="378" customFormat="1">
      <c r="M369" s="1539"/>
      <c r="R369" s="460"/>
      <c r="S369" s="460"/>
      <c r="T369" s="460"/>
    </row>
    <row r="370" spans="13:20" s="378" customFormat="1">
      <c r="M370" s="1539"/>
      <c r="R370" s="460"/>
      <c r="S370" s="460"/>
      <c r="T370" s="460"/>
    </row>
    <row r="371" spans="13:20" s="378" customFormat="1">
      <c r="M371" s="1539"/>
      <c r="R371" s="460"/>
      <c r="S371" s="460"/>
      <c r="T371" s="460"/>
    </row>
    <row r="372" spans="13:20" s="378" customFormat="1">
      <c r="M372" s="1539"/>
      <c r="R372" s="460"/>
      <c r="S372" s="460"/>
      <c r="T372" s="460"/>
    </row>
    <row r="373" spans="13:20" s="378" customFormat="1">
      <c r="M373" s="1539"/>
      <c r="R373" s="460"/>
      <c r="S373" s="460"/>
      <c r="T373" s="460"/>
    </row>
    <row r="374" spans="13:20" s="378" customFormat="1">
      <c r="M374" s="1539"/>
      <c r="R374" s="460"/>
      <c r="S374" s="460"/>
      <c r="T374" s="460"/>
    </row>
    <row r="375" spans="13:20" s="378" customFormat="1">
      <c r="M375" s="1539"/>
      <c r="R375" s="460"/>
      <c r="S375" s="460"/>
      <c r="T375" s="460"/>
    </row>
    <row r="376" spans="13:20" s="378" customFormat="1">
      <c r="M376" s="1539"/>
      <c r="R376" s="460"/>
      <c r="S376" s="460"/>
      <c r="T376" s="460"/>
    </row>
    <row r="377" spans="13:20" s="378" customFormat="1">
      <c r="M377" s="1539"/>
      <c r="R377" s="460"/>
      <c r="S377" s="460"/>
      <c r="T377" s="460"/>
    </row>
    <row r="378" spans="13:20" s="378" customFormat="1">
      <c r="M378" s="1539"/>
      <c r="R378" s="460"/>
      <c r="S378" s="460"/>
      <c r="T378" s="460"/>
    </row>
    <row r="379" spans="13:20" s="378" customFormat="1">
      <c r="M379" s="1539"/>
      <c r="R379" s="460"/>
      <c r="S379" s="460"/>
      <c r="T379" s="460"/>
    </row>
    <row r="380" spans="13:20" s="378" customFormat="1">
      <c r="M380" s="1539"/>
      <c r="R380" s="460"/>
      <c r="S380" s="460"/>
      <c r="T380" s="460"/>
    </row>
    <row r="381" spans="13:20" s="378" customFormat="1">
      <c r="M381" s="1539"/>
      <c r="R381" s="460"/>
      <c r="S381" s="460"/>
      <c r="T381" s="460"/>
    </row>
    <row r="382" spans="13:20" s="378" customFormat="1">
      <c r="M382" s="1539"/>
      <c r="R382" s="460"/>
      <c r="S382" s="460"/>
      <c r="T382" s="460"/>
    </row>
    <row r="383" spans="13:20" s="378" customFormat="1">
      <c r="M383" s="1539"/>
      <c r="R383" s="460"/>
      <c r="S383" s="460"/>
      <c r="T383" s="460"/>
    </row>
    <row r="384" spans="13:20" s="378" customFormat="1">
      <c r="M384" s="1539"/>
      <c r="R384" s="460"/>
      <c r="S384" s="460"/>
      <c r="T384" s="460"/>
    </row>
    <row r="385" spans="13:20" s="378" customFormat="1">
      <c r="M385" s="1539"/>
      <c r="R385" s="460"/>
      <c r="S385" s="460"/>
      <c r="T385" s="460"/>
    </row>
    <row r="386" spans="13:20" s="378" customFormat="1">
      <c r="M386" s="1539"/>
      <c r="R386" s="460"/>
      <c r="S386" s="460"/>
      <c r="T386" s="460"/>
    </row>
    <row r="387" spans="13:20" s="378" customFormat="1">
      <c r="M387" s="1539"/>
      <c r="R387" s="460"/>
      <c r="S387" s="460"/>
      <c r="T387" s="460"/>
    </row>
    <row r="388" spans="13:20" s="378" customFormat="1">
      <c r="M388" s="1539"/>
      <c r="R388" s="460"/>
      <c r="S388" s="460"/>
      <c r="T388" s="460"/>
    </row>
    <row r="389" spans="13:20" s="378" customFormat="1">
      <c r="M389" s="1539"/>
      <c r="R389" s="460"/>
      <c r="S389" s="460"/>
      <c r="T389" s="460"/>
    </row>
    <row r="390" spans="13:20" s="378" customFormat="1">
      <c r="M390" s="1539"/>
      <c r="R390" s="460"/>
      <c r="S390" s="460"/>
      <c r="T390" s="460"/>
    </row>
    <row r="391" spans="13:20" s="378" customFormat="1">
      <c r="M391" s="1539"/>
      <c r="R391" s="460"/>
      <c r="S391" s="460"/>
      <c r="T391" s="460"/>
    </row>
    <row r="392" spans="13:20" s="378" customFormat="1">
      <c r="M392" s="1539"/>
      <c r="R392" s="460"/>
      <c r="S392" s="460"/>
      <c r="T392" s="460"/>
    </row>
    <row r="393" spans="13:20" s="378" customFormat="1">
      <c r="M393" s="1539"/>
      <c r="R393" s="460"/>
      <c r="S393" s="460"/>
      <c r="T393" s="460"/>
    </row>
    <row r="394" spans="13:20" s="378" customFormat="1">
      <c r="M394" s="1539"/>
      <c r="R394" s="460"/>
      <c r="S394" s="460"/>
      <c r="T394" s="460"/>
    </row>
    <row r="395" spans="13:20" s="378" customFormat="1">
      <c r="M395" s="1539"/>
      <c r="R395" s="460"/>
      <c r="S395" s="460"/>
      <c r="T395" s="460"/>
    </row>
    <row r="396" spans="13:20" s="378" customFormat="1">
      <c r="M396" s="1539"/>
      <c r="R396" s="460"/>
      <c r="S396" s="460"/>
      <c r="T396" s="460"/>
    </row>
    <row r="397" spans="13:20" s="378" customFormat="1">
      <c r="M397" s="1539"/>
      <c r="R397" s="460"/>
      <c r="S397" s="460"/>
      <c r="T397" s="460"/>
    </row>
    <row r="398" spans="13:20" s="378" customFormat="1">
      <c r="M398" s="1539"/>
      <c r="R398" s="460"/>
      <c r="S398" s="460"/>
      <c r="T398" s="460"/>
    </row>
    <row r="399" spans="13:20" s="378" customFormat="1">
      <c r="M399" s="1539"/>
      <c r="R399" s="460"/>
      <c r="S399" s="460"/>
      <c r="T399" s="460"/>
    </row>
    <row r="400" spans="13:20" s="378" customFormat="1">
      <c r="M400" s="1539"/>
      <c r="R400" s="460"/>
      <c r="S400" s="460"/>
      <c r="T400" s="460"/>
    </row>
    <row r="401" spans="13:20" s="378" customFormat="1">
      <c r="M401" s="1539"/>
      <c r="R401" s="460"/>
      <c r="S401" s="460"/>
      <c r="T401" s="460"/>
    </row>
    <row r="402" spans="13:20" s="378" customFormat="1">
      <c r="M402" s="1539"/>
      <c r="R402" s="460"/>
      <c r="S402" s="460"/>
      <c r="T402" s="460"/>
    </row>
    <row r="403" spans="13:20" s="378" customFormat="1">
      <c r="M403" s="1539"/>
      <c r="R403" s="460"/>
      <c r="S403" s="460"/>
      <c r="T403" s="460"/>
    </row>
    <row r="404" spans="13:20" s="378" customFormat="1">
      <c r="M404" s="1539"/>
      <c r="R404" s="460"/>
      <c r="S404" s="460"/>
      <c r="T404" s="460"/>
    </row>
    <row r="405" spans="13:20" s="378" customFormat="1">
      <c r="M405" s="1539"/>
      <c r="R405" s="460"/>
      <c r="S405" s="460"/>
      <c r="T405" s="460"/>
    </row>
    <row r="406" spans="13:20" s="378" customFormat="1">
      <c r="M406" s="1539"/>
      <c r="R406" s="460"/>
      <c r="S406" s="460"/>
      <c r="T406" s="460"/>
    </row>
    <row r="407" spans="13:20" s="378" customFormat="1">
      <c r="M407" s="1539"/>
      <c r="R407" s="460"/>
      <c r="S407" s="460"/>
      <c r="T407" s="460"/>
    </row>
    <row r="408" spans="13:20" s="378" customFormat="1">
      <c r="M408" s="1539"/>
      <c r="R408" s="460"/>
      <c r="S408" s="460"/>
      <c r="T408" s="460"/>
    </row>
    <row r="409" spans="13:20" s="378" customFormat="1">
      <c r="M409" s="1539"/>
      <c r="R409" s="460"/>
      <c r="S409" s="460"/>
      <c r="T409" s="460"/>
    </row>
    <row r="410" spans="13:20" s="378" customFormat="1">
      <c r="M410" s="1539"/>
      <c r="R410" s="460"/>
      <c r="S410" s="460"/>
      <c r="T410" s="460"/>
    </row>
    <row r="411" spans="13:20" s="378" customFormat="1">
      <c r="M411" s="1539"/>
      <c r="R411" s="460"/>
      <c r="S411" s="460"/>
      <c r="T411" s="460"/>
    </row>
    <row r="412" spans="13:20" s="378" customFormat="1">
      <c r="M412" s="1539"/>
      <c r="R412" s="460"/>
      <c r="S412" s="460"/>
      <c r="T412" s="460"/>
    </row>
    <row r="413" spans="13:20" s="378" customFormat="1">
      <c r="M413" s="1539"/>
      <c r="R413" s="460"/>
      <c r="S413" s="460"/>
      <c r="T413" s="460"/>
    </row>
    <row r="414" spans="13:20" s="378" customFormat="1">
      <c r="M414" s="1539"/>
      <c r="R414" s="460"/>
      <c r="S414" s="460"/>
      <c r="T414" s="460"/>
    </row>
    <row r="415" spans="13:20" s="378" customFormat="1">
      <c r="M415" s="1539"/>
      <c r="R415" s="460"/>
      <c r="S415" s="460"/>
      <c r="T415" s="460"/>
    </row>
    <row r="416" spans="13:20" s="378" customFormat="1">
      <c r="M416" s="1539"/>
      <c r="R416" s="460"/>
      <c r="S416" s="460"/>
      <c r="T416" s="460"/>
    </row>
    <row r="417" spans="13:20" s="378" customFormat="1">
      <c r="M417" s="1539"/>
      <c r="R417" s="460"/>
      <c r="S417" s="460"/>
      <c r="T417" s="460"/>
    </row>
    <row r="418" spans="13:20" s="378" customFormat="1">
      <c r="M418" s="1539"/>
      <c r="R418" s="460"/>
      <c r="S418" s="460"/>
      <c r="T418" s="460"/>
    </row>
    <row r="419" spans="13:20" s="378" customFormat="1">
      <c r="M419" s="1539"/>
      <c r="R419" s="460"/>
      <c r="S419" s="460"/>
      <c r="T419" s="460"/>
    </row>
    <row r="420" spans="13:20" s="378" customFormat="1">
      <c r="M420" s="1539"/>
      <c r="R420" s="460"/>
      <c r="S420" s="460"/>
      <c r="T420" s="460"/>
    </row>
    <row r="421" spans="13:20" s="378" customFormat="1">
      <c r="M421" s="1539"/>
      <c r="R421" s="460"/>
      <c r="S421" s="460"/>
      <c r="T421" s="460"/>
    </row>
    <row r="422" spans="13:20" s="378" customFormat="1">
      <c r="M422" s="1539"/>
      <c r="R422" s="460"/>
      <c r="S422" s="460"/>
      <c r="T422" s="460"/>
    </row>
    <row r="423" spans="13:20" s="378" customFormat="1">
      <c r="M423" s="1539"/>
      <c r="R423" s="460"/>
      <c r="S423" s="460"/>
      <c r="T423" s="460"/>
    </row>
    <row r="424" spans="13:20" s="378" customFormat="1">
      <c r="M424" s="1539"/>
      <c r="R424" s="460"/>
      <c r="S424" s="460"/>
      <c r="T424" s="460"/>
    </row>
    <row r="425" spans="13:20" s="378" customFormat="1">
      <c r="M425" s="1539"/>
      <c r="R425" s="460"/>
      <c r="S425" s="460"/>
      <c r="T425" s="460"/>
    </row>
    <row r="426" spans="13:20" s="378" customFormat="1">
      <c r="M426" s="1539"/>
      <c r="R426" s="460"/>
      <c r="S426" s="460"/>
      <c r="T426" s="460"/>
    </row>
    <row r="427" spans="13:20" s="378" customFormat="1">
      <c r="M427" s="1539"/>
      <c r="R427" s="460"/>
      <c r="S427" s="460"/>
      <c r="T427" s="460"/>
    </row>
    <row r="428" spans="13:20" s="378" customFormat="1">
      <c r="M428" s="1539"/>
      <c r="R428" s="460"/>
      <c r="S428" s="460"/>
      <c r="T428" s="460"/>
    </row>
    <row r="429" spans="13:20" s="378" customFormat="1">
      <c r="M429" s="1539"/>
      <c r="R429" s="460"/>
      <c r="S429" s="460"/>
      <c r="T429" s="460"/>
    </row>
    <row r="430" spans="13:20" s="378" customFormat="1">
      <c r="M430" s="1539"/>
      <c r="R430" s="460"/>
      <c r="S430" s="460"/>
      <c r="T430" s="460"/>
    </row>
    <row r="431" spans="13:20" s="378" customFormat="1">
      <c r="M431" s="1539"/>
      <c r="R431" s="460"/>
      <c r="S431" s="460"/>
      <c r="T431" s="460"/>
    </row>
    <row r="432" spans="13:20" s="378" customFormat="1">
      <c r="M432" s="1539"/>
      <c r="R432" s="460"/>
      <c r="S432" s="460"/>
      <c r="T432" s="460"/>
    </row>
    <row r="433" spans="13:20" s="378" customFormat="1">
      <c r="M433" s="1539"/>
      <c r="R433" s="460"/>
      <c r="S433" s="460"/>
      <c r="T433" s="460"/>
    </row>
    <row r="434" spans="13:20" s="378" customFormat="1">
      <c r="M434" s="1539"/>
      <c r="R434" s="460"/>
      <c r="S434" s="460"/>
      <c r="T434" s="460"/>
    </row>
    <row r="435" spans="13:20" s="378" customFormat="1">
      <c r="M435" s="1539"/>
      <c r="R435" s="460"/>
      <c r="S435" s="460"/>
      <c r="T435" s="460"/>
    </row>
    <row r="436" spans="13:20" s="378" customFormat="1">
      <c r="M436" s="1539"/>
      <c r="R436" s="460"/>
      <c r="S436" s="460"/>
      <c r="T436" s="460"/>
    </row>
    <row r="437" spans="13:20" s="378" customFormat="1">
      <c r="M437" s="1539"/>
      <c r="R437" s="460"/>
      <c r="S437" s="460"/>
      <c r="T437" s="460"/>
    </row>
    <row r="438" spans="13:20" s="378" customFormat="1">
      <c r="M438" s="1539"/>
      <c r="R438" s="460"/>
      <c r="S438" s="460"/>
      <c r="T438" s="460"/>
    </row>
    <row r="439" spans="13:20" s="378" customFormat="1">
      <c r="M439" s="1539"/>
      <c r="R439" s="460"/>
      <c r="S439" s="460"/>
      <c r="T439" s="460"/>
    </row>
    <row r="440" spans="13:20" s="378" customFormat="1">
      <c r="M440" s="1539"/>
      <c r="R440" s="460"/>
      <c r="S440" s="460"/>
      <c r="T440" s="460"/>
    </row>
    <row r="441" spans="13:20" s="378" customFormat="1">
      <c r="M441" s="1539"/>
      <c r="R441" s="460"/>
      <c r="S441" s="460"/>
      <c r="T441" s="460"/>
    </row>
    <row r="442" spans="13:20" s="378" customFormat="1">
      <c r="M442" s="1539"/>
      <c r="R442" s="460"/>
      <c r="S442" s="460"/>
      <c r="T442" s="460"/>
    </row>
    <row r="443" spans="13:20" s="378" customFormat="1">
      <c r="M443" s="1539"/>
      <c r="R443" s="460"/>
      <c r="S443" s="460"/>
      <c r="T443" s="460"/>
    </row>
    <row r="444" spans="13:20" s="378" customFormat="1">
      <c r="M444" s="1539"/>
      <c r="R444" s="460"/>
      <c r="S444" s="460"/>
      <c r="T444" s="460"/>
    </row>
    <row r="445" spans="13:20" s="378" customFormat="1">
      <c r="M445" s="1539"/>
      <c r="R445" s="460"/>
      <c r="S445" s="460"/>
      <c r="T445" s="460"/>
    </row>
    <row r="446" spans="13:20" s="378" customFormat="1">
      <c r="M446" s="1539"/>
      <c r="R446" s="460"/>
      <c r="S446" s="460"/>
      <c r="T446" s="460"/>
    </row>
    <row r="447" spans="13:20" s="378" customFormat="1">
      <c r="M447" s="1539"/>
      <c r="R447" s="460"/>
      <c r="S447" s="460"/>
      <c r="T447" s="460"/>
    </row>
    <row r="448" spans="13:20" s="378" customFormat="1">
      <c r="M448" s="1539"/>
      <c r="R448" s="460"/>
      <c r="S448" s="460"/>
      <c r="T448" s="460"/>
    </row>
    <row r="449" spans="13:20" s="378" customFormat="1">
      <c r="M449" s="1539"/>
      <c r="R449" s="460"/>
      <c r="S449" s="460"/>
      <c r="T449" s="460"/>
    </row>
    <row r="450" spans="13:20" s="378" customFormat="1">
      <c r="M450" s="1539"/>
      <c r="R450" s="460"/>
      <c r="S450" s="460"/>
      <c r="T450" s="460"/>
    </row>
    <row r="451" spans="13:20" s="378" customFormat="1">
      <c r="M451" s="1539"/>
      <c r="R451" s="460"/>
      <c r="S451" s="460"/>
      <c r="T451" s="460"/>
    </row>
    <row r="452" spans="13:20" s="378" customFormat="1">
      <c r="M452" s="1539"/>
      <c r="R452" s="460"/>
      <c r="S452" s="460"/>
      <c r="T452" s="460"/>
    </row>
    <row r="453" spans="13:20" s="378" customFormat="1">
      <c r="M453" s="1539"/>
      <c r="R453" s="460"/>
      <c r="S453" s="460"/>
      <c r="T453" s="460"/>
    </row>
    <row r="454" spans="13:20" s="378" customFormat="1">
      <c r="M454" s="1539"/>
      <c r="R454" s="460"/>
      <c r="S454" s="460"/>
      <c r="T454" s="460"/>
    </row>
    <row r="455" spans="13:20" s="378" customFormat="1">
      <c r="M455" s="1539"/>
      <c r="R455" s="460"/>
      <c r="S455" s="460"/>
      <c r="T455" s="460"/>
    </row>
    <row r="456" spans="13:20" s="378" customFormat="1">
      <c r="M456" s="1539"/>
      <c r="R456" s="460"/>
      <c r="S456" s="460"/>
      <c r="T456" s="460"/>
    </row>
    <row r="457" spans="13:20" s="378" customFormat="1">
      <c r="M457" s="1539"/>
      <c r="R457" s="460"/>
      <c r="S457" s="460"/>
      <c r="T457" s="460"/>
    </row>
    <row r="458" spans="13:20" s="378" customFormat="1">
      <c r="M458" s="1539"/>
      <c r="R458" s="460"/>
      <c r="S458" s="460"/>
      <c r="T458" s="460"/>
    </row>
    <row r="459" spans="13:20" s="378" customFormat="1">
      <c r="M459" s="1539"/>
      <c r="R459" s="460"/>
      <c r="S459" s="460"/>
      <c r="T459" s="460"/>
    </row>
    <row r="460" spans="13:20" s="378" customFormat="1">
      <c r="M460" s="1539"/>
      <c r="R460" s="460"/>
      <c r="S460" s="460"/>
      <c r="T460" s="460"/>
    </row>
    <row r="461" spans="13:20" s="378" customFormat="1">
      <c r="M461" s="1539"/>
      <c r="R461" s="460"/>
      <c r="S461" s="460"/>
      <c r="T461" s="460"/>
    </row>
    <row r="462" spans="13:20" s="378" customFormat="1">
      <c r="M462" s="1539"/>
      <c r="R462" s="460"/>
      <c r="S462" s="460"/>
      <c r="T462" s="460"/>
    </row>
    <row r="463" spans="13:20" s="378" customFormat="1">
      <c r="M463" s="1539"/>
      <c r="R463" s="460"/>
      <c r="S463" s="460"/>
      <c r="T463" s="460"/>
    </row>
    <row r="464" spans="13:20" s="378" customFormat="1">
      <c r="M464" s="1539"/>
      <c r="R464" s="460"/>
      <c r="S464" s="460"/>
      <c r="T464" s="460"/>
    </row>
    <row r="465" spans="13:20" s="378" customFormat="1">
      <c r="M465" s="1539"/>
      <c r="R465" s="460"/>
      <c r="S465" s="460"/>
      <c r="T465" s="460"/>
    </row>
    <row r="466" spans="13:20" s="378" customFormat="1">
      <c r="M466" s="1539"/>
      <c r="R466" s="460"/>
      <c r="S466" s="460"/>
      <c r="T466" s="460"/>
    </row>
    <row r="467" spans="13:20" s="378" customFormat="1">
      <c r="M467" s="1539"/>
      <c r="R467" s="460"/>
      <c r="S467" s="460"/>
      <c r="T467" s="460"/>
    </row>
    <row r="468" spans="13:20" s="378" customFormat="1">
      <c r="M468" s="1539"/>
      <c r="R468" s="460"/>
      <c r="S468" s="460"/>
      <c r="T468" s="460"/>
    </row>
    <row r="469" spans="13:20" s="378" customFormat="1">
      <c r="M469" s="1539"/>
      <c r="R469" s="460"/>
      <c r="S469" s="460"/>
      <c r="T469" s="460"/>
    </row>
    <row r="470" spans="13:20" s="378" customFormat="1">
      <c r="M470" s="1539"/>
      <c r="R470" s="460"/>
      <c r="S470" s="460"/>
      <c r="T470" s="460"/>
    </row>
    <row r="471" spans="13:20" s="378" customFormat="1">
      <c r="M471" s="1539"/>
      <c r="R471" s="460"/>
      <c r="S471" s="460"/>
      <c r="T471" s="460"/>
    </row>
    <row r="472" spans="13:20" s="378" customFormat="1">
      <c r="M472" s="1539"/>
      <c r="R472" s="460"/>
      <c r="S472" s="460"/>
      <c r="T472" s="460"/>
    </row>
    <row r="473" spans="13:20" s="378" customFormat="1">
      <c r="M473" s="1539"/>
      <c r="R473" s="460"/>
      <c r="S473" s="460"/>
      <c r="T473" s="460"/>
    </row>
    <row r="474" spans="13:20" s="378" customFormat="1">
      <c r="M474" s="1539"/>
      <c r="R474" s="460"/>
      <c r="S474" s="460"/>
      <c r="T474" s="460"/>
    </row>
    <row r="475" spans="13:20" s="378" customFormat="1">
      <c r="M475" s="1539"/>
      <c r="R475" s="460"/>
      <c r="S475" s="460"/>
      <c r="T475" s="460"/>
    </row>
    <row r="476" spans="13:20" s="378" customFormat="1">
      <c r="M476" s="1539"/>
      <c r="R476" s="460"/>
      <c r="S476" s="460"/>
      <c r="T476" s="460"/>
    </row>
    <row r="477" spans="13:20" s="378" customFormat="1">
      <c r="M477" s="1539"/>
      <c r="R477" s="460"/>
      <c r="S477" s="460"/>
      <c r="T477" s="460"/>
    </row>
    <row r="478" spans="13:20" s="378" customFormat="1">
      <c r="M478" s="1539"/>
      <c r="R478" s="460"/>
      <c r="S478" s="460"/>
      <c r="T478" s="460"/>
    </row>
    <row r="479" spans="13:20" s="378" customFormat="1">
      <c r="M479" s="1539"/>
      <c r="R479" s="460"/>
      <c r="S479" s="460"/>
      <c r="T479" s="460"/>
    </row>
    <row r="480" spans="13:20" s="378" customFormat="1">
      <c r="M480" s="1539"/>
      <c r="R480" s="460"/>
      <c r="S480" s="460"/>
      <c r="T480" s="460"/>
    </row>
    <row r="481" spans="13:20" s="378" customFormat="1">
      <c r="M481" s="1539"/>
      <c r="R481" s="460"/>
      <c r="S481" s="460"/>
      <c r="T481" s="460"/>
    </row>
    <row r="482" spans="13:20" s="378" customFormat="1">
      <c r="M482" s="1539"/>
      <c r="R482" s="460"/>
      <c r="S482" s="460"/>
      <c r="T482" s="460"/>
    </row>
    <row r="483" spans="13:20" s="378" customFormat="1">
      <c r="M483" s="1539"/>
      <c r="R483" s="460"/>
      <c r="S483" s="460"/>
      <c r="T483" s="460"/>
    </row>
    <row r="484" spans="13:20" s="378" customFormat="1">
      <c r="M484" s="1539"/>
      <c r="R484" s="460"/>
      <c r="S484" s="460"/>
      <c r="T484" s="460"/>
    </row>
    <row r="485" spans="13:20" s="378" customFormat="1">
      <c r="M485" s="1539"/>
      <c r="R485" s="460"/>
      <c r="S485" s="460"/>
      <c r="T485" s="460"/>
    </row>
    <row r="486" spans="13:20" s="378" customFormat="1">
      <c r="M486" s="1539"/>
      <c r="R486" s="460"/>
      <c r="S486" s="460"/>
      <c r="T486" s="460"/>
    </row>
    <row r="487" spans="13:20" s="378" customFormat="1">
      <c r="M487" s="1539"/>
      <c r="R487" s="460"/>
      <c r="S487" s="460"/>
      <c r="T487" s="460"/>
    </row>
    <row r="488" spans="13:20" s="378" customFormat="1">
      <c r="M488" s="1539"/>
      <c r="R488" s="460"/>
      <c r="S488" s="460"/>
      <c r="T488" s="460"/>
    </row>
    <row r="489" spans="13:20" s="378" customFormat="1">
      <c r="M489" s="1539"/>
      <c r="R489" s="460"/>
      <c r="S489" s="460"/>
      <c r="T489" s="460"/>
    </row>
    <row r="490" spans="13:20" s="378" customFormat="1">
      <c r="M490" s="1539"/>
      <c r="R490" s="460"/>
      <c r="S490" s="460"/>
      <c r="T490" s="460"/>
    </row>
    <row r="491" spans="13:20" s="378" customFormat="1">
      <c r="M491" s="1539"/>
      <c r="R491" s="460"/>
      <c r="S491" s="460"/>
      <c r="T491" s="460"/>
    </row>
    <row r="492" spans="13:20" s="378" customFormat="1">
      <c r="M492" s="1539"/>
      <c r="R492" s="460"/>
      <c r="S492" s="460"/>
      <c r="T492" s="460"/>
    </row>
    <row r="493" spans="13:20" s="378" customFormat="1">
      <c r="M493" s="1539"/>
      <c r="R493" s="460"/>
      <c r="S493" s="460"/>
      <c r="T493" s="460"/>
    </row>
    <row r="494" spans="13:20" s="378" customFormat="1">
      <c r="M494" s="1539"/>
      <c r="R494" s="460"/>
      <c r="S494" s="460"/>
      <c r="T494" s="460"/>
    </row>
    <row r="495" spans="13:20" s="378" customFormat="1">
      <c r="M495" s="1539"/>
      <c r="R495" s="460"/>
      <c r="S495" s="460"/>
      <c r="T495" s="460"/>
    </row>
    <row r="496" spans="13:20" s="378" customFormat="1">
      <c r="M496" s="1539"/>
      <c r="R496" s="460"/>
      <c r="S496" s="460"/>
      <c r="T496" s="460"/>
    </row>
    <row r="497" spans="13:20" s="378" customFormat="1">
      <c r="M497" s="1539"/>
      <c r="R497" s="460"/>
      <c r="S497" s="460"/>
      <c r="T497" s="460"/>
    </row>
    <row r="498" spans="13:20" s="378" customFormat="1">
      <c r="M498" s="1539"/>
      <c r="R498" s="460"/>
      <c r="S498" s="460"/>
      <c r="T498" s="460"/>
    </row>
    <row r="499" spans="13:20" s="378" customFormat="1">
      <c r="M499" s="1539"/>
      <c r="R499" s="460"/>
      <c r="S499" s="460"/>
      <c r="T499" s="460"/>
    </row>
    <row r="500" spans="13:20" s="378" customFormat="1">
      <c r="M500" s="1539"/>
      <c r="R500" s="460"/>
      <c r="S500" s="460"/>
      <c r="T500" s="460"/>
    </row>
    <row r="501" spans="13:20" s="378" customFormat="1">
      <c r="M501" s="1539"/>
      <c r="R501" s="460"/>
      <c r="S501" s="460"/>
      <c r="T501" s="460"/>
    </row>
    <row r="502" spans="13:20" s="378" customFormat="1">
      <c r="M502" s="1539"/>
      <c r="R502" s="460"/>
      <c r="S502" s="460"/>
      <c r="T502" s="460"/>
    </row>
    <row r="503" spans="13:20" s="378" customFormat="1">
      <c r="M503" s="1539"/>
      <c r="R503" s="460"/>
      <c r="S503" s="460"/>
      <c r="T503" s="460"/>
    </row>
    <row r="504" spans="13:20" s="378" customFormat="1">
      <c r="M504" s="1539"/>
      <c r="R504" s="460"/>
      <c r="S504" s="460"/>
      <c r="T504" s="460"/>
    </row>
    <row r="505" spans="13:20" s="378" customFormat="1">
      <c r="M505" s="1539"/>
      <c r="R505" s="460"/>
      <c r="S505" s="460"/>
      <c r="T505" s="460"/>
    </row>
    <row r="506" spans="13:20" s="378" customFormat="1">
      <c r="M506" s="1539"/>
      <c r="R506" s="460"/>
      <c r="S506" s="460"/>
      <c r="T506" s="460"/>
    </row>
    <row r="507" spans="13:20" s="378" customFormat="1">
      <c r="M507" s="1539"/>
      <c r="R507" s="460"/>
      <c r="S507" s="460"/>
      <c r="T507" s="460"/>
    </row>
    <row r="508" spans="13:20" s="378" customFormat="1">
      <c r="M508" s="1539"/>
      <c r="R508" s="460"/>
      <c r="S508" s="460"/>
      <c r="T508" s="460"/>
    </row>
    <row r="509" spans="13:20" s="378" customFormat="1">
      <c r="M509" s="1539"/>
      <c r="R509" s="460"/>
      <c r="S509" s="460"/>
      <c r="T509" s="460"/>
    </row>
    <row r="510" spans="13:20" s="378" customFormat="1">
      <c r="M510" s="1539"/>
      <c r="R510" s="460"/>
      <c r="S510" s="460"/>
      <c r="T510" s="460"/>
    </row>
    <row r="511" spans="13:20" s="378" customFormat="1">
      <c r="M511" s="1539"/>
      <c r="R511" s="460"/>
      <c r="S511" s="460"/>
      <c r="T511" s="460"/>
    </row>
    <row r="512" spans="13:20" s="378" customFormat="1">
      <c r="M512" s="1539"/>
      <c r="R512" s="460"/>
      <c r="S512" s="460"/>
      <c r="T512" s="460"/>
    </row>
    <row r="513" spans="13:20" s="378" customFormat="1">
      <c r="M513" s="1539"/>
      <c r="R513" s="460"/>
      <c r="S513" s="460"/>
      <c r="T513" s="460"/>
    </row>
    <row r="514" spans="13:20" s="378" customFormat="1">
      <c r="M514" s="1539"/>
      <c r="R514" s="460"/>
      <c r="S514" s="460"/>
      <c r="T514" s="460"/>
    </row>
    <row r="515" spans="13:20" s="378" customFormat="1">
      <c r="M515" s="1539"/>
      <c r="R515" s="460"/>
      <c r="S515" s="460"/>
      <c r="T515" s="460"/>
    </row>
    <row r="516" spans="13:20" s="378" customFormat="1">
      <c r="M516" s="1539"/>
      <c r="R516" s="460"/>
      <c r="S516" s="460"/>
      <c r="T516" s="460"/>
    </row>
    <row r="517" spans="13:20" s="378" customFormat="1">
      <c r="M517" s="1539"/>
      <c r="R517" s="460"/>
      <c r="S517" s="460"/>
      <c r="T517" s="460"/>
    </row>
    <row r="518" spans="13:20" s="378" customFormat="1">
      <c r="M518" s="1539"/>
      <c r="R518" s="460"/>
      <c r="S518" s="460"/>
      <c r="T518" s="460"/>
    </row>
    <row r="519" spans="13:20" s="378" customFormat="1">
      <c r="M519" s="1539"/>
      <c r="R519" s="460"/>
      <c r="S519" s="460"/>
      <c r="T519" s="460"/>
    </row>
    <row r="520" spans="13:20" s="378" customFormat="1">
      <c r="M520" s="1539"/>
      <c r="R520" s="460"/>
      <c r="S520" s="460"/>
      <c r="T520" s="460"/>
    </row>
    <row r="521" spans="13:20" s="378" customFormat="1">
      <c r="M521" s="1539"/>
      <c r="R521" s="460"/>
      <c r="S521" s="460"/>
      <c r="T521" s="460"/>
    </row>
    <row r="522" spans="13:20" s="378" customFormat="1">
      <c r="M522" s="1539"/>
      <c r="R522" s="460"/>
      <c r="S522" s="460"/>
      <c r="T522" s="460"/>
    </row>
    <row r="523" spans="13:20" s="378" customFormat="1">
      <c r="M523" s="1539"/>
      <c r="R523" s="460"/>
      <c r="S523" s="460"/>
      <c r="T523" s="460"/>
    </row>
    <row r="524" spans="13:20" s="378" customFormat="1">
      <c r="M524" s="1539"/>
      <c r="R524" s="460"/>
      <c r="S524" s="460"/>
      <c r="T524" s="460"/>
    </row>
    <row r="525" spans="13:20" s="378" customFormat="1">
      <c r="M525" s="1539"/>
      <c r="R525" s="460"/>
      <c r="S525" s="460"/>
      <c r="T525" s="460"/>
    </row>
    <row r="526" spans="13:20" s="378" customFormat="1">
      <c r="M526" s="1539"/>
      <c r="R526" s="460"/>
      <c r="S526" s="460"/>
      <c r="T526" s="460"/>
    </row>
    <row r="527" spans="13:20" s="378" customFormat="1">
      <c r="M527" s="1539"/>
      <c r="R527" s="460"/>
      <c r="S527" s="460"/>
      <c r="T527" s="460"/>
    </row>
    <row r="528" spans="13:20" s="378" customFormat="1">
      <c r="M528" s="1539"/>
      <c r="R528" s="460"/>
      <c r="S528" s="460"/>
      <c r="T528" s="460"/>
    </row>
    <row r="529" spans="13:20" s="378" customFormat="1">
      <c r="M529" s="1539"/>
      <c r="R529" s="460"/>
      <c r="S529" s="460"/>
      <c r="T529" s="460"/>
    </row>
    <row r="530" spans="13:20" s="378" customFormat="1">
      <c r="M530" s="1539"/>
      <c r="R530" s="460"/>
      <c r="S530" s="460"/>
      <c r="T530" s="460"/>
    </row>
    <row r="531" spans="13:20" s="378" customFormat="1">
      <c r="M531" s="1539"/>
      <c r="R531" s="460"/>
      <c r="S531" s="460"/>
      <c r="T531" s="460"/>
    </row>
    <row r="532" spans="13:20" s="378" customFormat="1">
      <c r="M532" s="1539"/>
      <c r="R532" s="460"/>
      <c r="S532" s="460"/>
      <c r="T532" s="460"/>
    </row>
    <row r="533" spans="13:20" s="378" customFormat="1">
      <c r="M533" s="1539"/>
      <c r="R533" s="460"/>
      <c r="S533" s="460"/>
      <c r="T533" s="460"/>
    </row>
    <row r="534" spans="13:20" s="378" customFormat="1">
      <c r="M534" s="1539"/>
      <c r="R534" s="460"/>
      <c r="S534" s="460"/>
      <c r="T534" s="460"/>
    </row>
    <row r="535" spans="13:20" s="378" customFormat="1">
      <c r="M535" s="1539"/>
      <c r="R535" s="460"/>
      <c r="S535" s="460"/>
      <c r="T535" s="460"/>
    </row>
    <row r="536" spans="13:20" s="378" customFormat="1">
      <c r="M536" s="1539"/>
      <c r="R536" s="460"/>
      <c r="S536" s="460"/>
      <c r="T536" s="460"/>
    </row>
    <row r="537" spans="13:20" s="378" customFormat="1">
      <c r="M537" s="1539"/>
      <c r="R537" s="460"/>
      <c r="S537" s="460"/>
      <c r="T537" s="460"/>
    </row>
    <row r="538" spans="13:20" s="378" customFormat="1">
      <c r="M538" s="1539"/>
      <c r="R538" s="460"/>
      <c r="S538" s="460"/>
      <c r="T538" s="460"/>
    </row>
    <row r="539" spans="13:20" s="378" customFormat="1">
      <c r="M539" s="1539"/>
      <c r="R539" s="460"/>
      <c r="S539" s="460"/>
      <c r="T539" s="460"/>
    </row>
    <row r="540" spans="13:20" s="378" customFormat="1">
      <c r="M540" s="1539"/>
      <c r="R540" s="460"/>
      <c r="S540" s="460"/>
      <c r="T540" s="460"/>
    </row>
    <row r="541" spans="13:20" s="378" customFormat="1">
      <c r="M541" s="1539"/>
      <c r="R541" s="460"/>
      <c r="S541" s="460"/>
      <c r="T541" s="460"/>
    </row>
    <row r="542" spans="13:20" s="378" customFormat="1">
      <c r="M542" s="1539"/>
      <c r="R542" s="460"/>
      <c r="S542" s="460"/>
      <c r="T542" s="460"/>
    </row>
    <row r="543" spans="13:20" s="378" customFormat="1">
      <c r="M543" s="1539"/>
      <c r="R543" s="460"/>
      <c r="S543" s="460"/>
      <c r="T543" s="460"/>
    </row>
    <row r="544" spans="13:20" s="378" customFormat="1">
      <c r="M544" s="1539"/>
      <c r="R544" s="460"/>
      <c r="S544" s="460"/>
      <c r="T544" s="460"/>
    </row>
    <row r="545" spans="13:20" s="378" customFormat="1">
      <c r="M545" s="1539"/>
      <c r="R545" s="460"/>
      <c r="S545" s="460"/>
      <c r="T545" s="460"/>
    </row>
    <row r="546" spans="13:20" s="378" customFormat="1">
      <c r="M546" s="1539"/>
      <c r="R546" s="460"/>
      <c r="S546" s="460"/>
      <c r="T546" s="460"/>
    </row>
    <row r="547" spans="13:20" s="378" customFormat="1">
      <c r="M547" s="1539"/>
      <c r="R547" s="460"/>
      <c r="S547" s="460"/>
      <c r="T547" s="460"/>
    </row>
    <row r="548" spans="13:20" s="378" customFormat="1">
      <c r="M548" s="1539"/>
      <c r="R548" s="460"/>
      <c r="S548" s="460"/>
      <c r="T548" s="460"/>
    </row>
    <row r="549" spans="13:20" s="378" customFormat="1">
      <c r="M549" s="1539"/>
      <c r="R549" s="460"/>
      <c r="S549" s="460"/>
      <c r="T549" s="460"/>
    </row>
    <row r="550" spans="13:20" s="378" customFormat="1">
      <c r="M550" s="1539"/>
      <c r="R550" s="460"/>
      <c r="S550" s="460"/>
      <c r="T550" s="460"/>
    </row>
    <row r="551" spans="13:20" s="378" customFormat="1">
      <c r="M551" s="1539"/>
      <c r="R551" s="460"/>
      <c r="S551" s="460"/>
      <c r="T551" s="460"/>
    </row>
    <row r="552" spans="13:20" s="378" customFormat="1">
      <c r="M552" s="1539"/>
      <c r="R552" s="460"/>
      <c r="S552" s="460"/>
      <c r="T552" s="460"/>
    </row>
    <row r="553" spans="13:20" s="378" customFormat="1">
      <c r="M553" s="1539"/>
      <c r="R553" s="460"/>
      <c r="S553" s="460"/>
      <c r="T553" s="460"/>
    </row>
    <row r="554" spans="13:20" s="378" customFormat="1">
      <c r="M554" s="1539"/>
      <c r="R554" s="460"/>
      <c r="S554" s="460"/>
      <c r="T554" s="460"/>
    </row>
    <row r="555" spans="13:20" s="378" customFormat="1">
      <c r="M555" s="1539"/>
      <c r="R555" s="460"/>
      <c r="S555" s="460"/>
      <c r="T555" s="460"/>
    </row>
    <row r="556" spans="13:20" s="378" customFormat="1">
      <c r="M556" s="1539"/>
      <c r="R556" s="460"/>
      <c r="S556" s="460"/>
      <c r="T556" s="460"/>
    </row>
    <row r="557" spans="13:20" s="378" customFormat="1">
      <c r="M557" s="1539"/>
      <c r="R557" s="460"/>
      <c r="S557" s="460"/>
      <c r="T557" s="460"/>
    </row>
    <row r="558" spans="13:20" s="378" customFormat="1">
      <c r="M558" s="1539"/>
      <c r="R558" s="460"/>
      <c r="S558" s="460"/>
      <c r="T558" s="460"/>
    </row>
    <row r="559" spans="13:20" s="378" customFormat="1">
      <c r="M559" s="1539"/>
      <c r="R559" s="460"/>
      <c r="S559" s="460"/>
      <c r="T559" s="460"/>
    </row>
    <row r="560" spans="13:20" s="378" customFormat="1">
      <c r="M560" s="1539"/>
      <c r="R560" s="460"/>
      <c r="S560" s="460"/>
      <c r="T560" s="460"/>
    </row>
    <row r="561" spans="13:20" s="378" customFormat="1">
      <c r="M561" s="1539"/>
      <c r="R561" s="460"/>
      <c r="S561" s="460"/>
      <c r="T561" s="460"/>
    </row>
    <row r="562" spans="13:20" s="378" customFormat="1">
      <c r="M562" s="1539"/>
      <c r="R562" s="460"/>
      <c r="S562" s="460"/>
      <c r="T562" s="460"/>
    </row>
    <row r="563" spans="13:20" s="378" customFormat="1">
      <c r="M563" s="1539"/>
      <c r="R563" s="460"/>
      <c r="S563" s="460"/>
      <c r="T563" s="460"/>
    </row>
    <row r="564" spans="13:20" s="378" customFormat="1">
      <c r="M564" s="1539"/>
      <c r="R564" s="460"/>
      <c r="S564" s="460"/>
      <c r="T564" s="460"/>
    </row>
    <row r="565" spans="13:20" s="378" customFormat="1">
      <c r="M565" s="1539"/>
      <c r="R565" s="460"/>
      <c r="S565" s="460"/>
      <c r="T565" s="460"/>
    </row>
    <row r="566" spans="13:20" s="378" customFormat="1">
      <c r="M566" s="1539"/>
      <c r="R566" s="460"/>
      <c r="S566" s="460"/>
      <c r="T566" s="460"/>
    </row>
    <row r="567" spans="13:20" s="378" customFormat="1">
      <c r="M567" s="1539"/>
      <c r="R567" s="460"/>
      <c r="S567" s="460"/>
      <c r="T567" s="460"/>
    </row>
    <row r="568" spans="13:20" s="378" customFormat="1">
      <c r="M568" s="1539"/>
      <c r="R568" s="460"/>
      <c r="S568" s="460"/>
      <c r="T568" s="460"/>
    </row>
    <row r="569" spans="13:20" s="378" customFormat="1">
      <c r="M569" s="1539"/>
      <c r="R569" s="460"/>
      <c r="S569" s="460"/>
      <c r="T569" s="460"/>
    </row>
    <row r="570" spans="13:20" s="378" customFormat="1">
      <c r="M570" s="1539"/>
      <c r="R570" s="460"/>
      <c r="S570" s="460"/>
      <c r="T570" s="460"/>
    </row>
    <row r="571" spans="13:20" s="378" customFormat="1">
      <c r="M571" s="1539"/>
      <c r="R571" s="460"/>
      <c r="S571" s="460"/>
      <c r="T571" s="460"/>
    </row>
    <row r="572" spans="13:20" s="378" customFormat="1">
      <c r="M572" s="1539"/>
      <c r="R572" s="460"/>
      <c r="S572" s="460"/>
      <c r="T572" s="460"/>
    </row>
    <row r="573" spans="13:20" s="378" customFormat="1">
      <c r="M573" s="1539"/>
      <c r="R573" s="460"/>
      <c r="S573" s="460"/>
      <c r="T573" s="460"/>
    </row>
    <row r="574" spans="13:20" s="378" customFormat="1">
      <c r="M574" s="1539"/>
      <c r="R574" s="460"/>
      <c r="S574" s="460"/>
      <c r="T574" s="460"/>
    </row>
    <row r="575" spans="13:20" s="378" customFormat="1">
      <c r="M575" s="1539"/>
      <c r="R575" s="460"/>
      <c r="S575" s="460"/>
      <c r="T575" s="460"/>
    </row>
    <row r="576" spans="13:20" s="378" customFormat="1">
      <c r="M576" s="1539"/>
      <c r="R576" s="460"/>
      <c r="S576" s="460"/>
      <c r="T576" s="460"/>
    </row>
    <row r="577" spans="13:20" s="378" customFormat="1">
      <c r="M577" s="1539"/>
      <c r="R577" s="460"/>
      <c r="S577" s="460"/>
      <c r="T577" s="460"/>
    </row>
    <row r="578" spans="13:20" s="378" customFormat="1">
      <c r="M578" s="1539"/>
      <c r="R578" s="460"/>
      <c r="S578" s="460"/>
      <c r="T578" s="460"/>
    </row>
    <row r="579" spans="13:20" s="378" customFormat="1">
      <c r="M579" s="1539"/>
      <c r="R579" s="460"/>
      <c r="S579" s="460"/>
      <c r="T579" s="460"/>
    </row>
    <row r="580" spans="13:20" s="378" customFormat="1">
      <c r="M580" s="1539"/>
      <c r="R580" s="460"/>
      <c r="S580" s="460"/>
      <c r="T580" s="460"/>
    </row>
    <row r="581" spans="13:20" s="378" customFormat="1">
      <c r="M581" s="1539"/>
      <c r="R581" s="460"/>
      <c r="S581" s="460"/>
      <c r="T581" s="460"/>
    </row>
    <row r="582" spans="13:20" s="378" customFormat="1">
      <c r="M582" s="1539"/>
      <c r="R582" s="460"/>
      <c r="S582" s="460"/>
      <c r="T582" s="460"/>
    </row>
    <row r="583" spans="13:20" s="378" customFormat="1">
      <c r="M583" s="1539"/>
      <c r="R583" s="460"/>
      <c r="S583" s="460"/>
      <c r="T583" s="460"/>
    </row>
    <row r="584" spans="13:20" s="378" customFormat="1">
      <c r="M584" s="1539"/>
      <c r="R584" s="460"/>
      <c r="S584" s="460"/>
      <c r="T584" s="460"/>
    </row>
    <row r="585" spans="13:20" s="378" customFormat="1">
      <c r="M585" s="1539"/>
      <c r="R585" s="460"/>
      <c r="S585" s="460"/>
      <c r="T585" s="460"/>
    </row>
    <row r="586" spans="13:20" s="378" customFormat="1">
      <c r="M586" s="1539"/>
      <c r="R586" s="460"/>
      <c r="S586" s="460"/>
      <c r="T586" s="460"/>
    </row>
    <row r="587" spans="13:20" s="378" customFormat="1">
      <c r="M587" s="1539"/>
      <c r="R587" s="460"/>
      <c r="S587" s="460"/>
      <c r="T587" s="460"/>
    </row>
    <row r="588" spans="13:20" s="378" customFormat="1">
      <c r="M588" s="1539"/>
      <c r="R588" s="460"/>
      <c r="S588" s="460"/>
      <c r="T588" s="460"/>
    </row>
    <row r="589" spans="13:20" s="378" customFormat="1">
      <c r="M589" s="1539"/>
      <c r="R589" s="460"/>
      <c r="S589" s="460"/>
      <c r="T589" s="460"/>
    </row>
    <row r="590" spans="13:20" s="378" customFormat="1">
      <c r="M590" s="1539"/>
      <c r="R590" s="460"/>
      <c r="S590" s="460"/>
      <c r="T590" s="460"/>
    </row>
    <row r="591" spans="13:20" s="378" customFormat="1">
      <c r="M591" s="1539"/>
      <c r="R591" s="460"/>
      <c r="S591" s="460"/>
      <c r="T591" s="460"/>
    </row>
    <row r="592" spans="13:20" s="378" customFormat="1">
      <c r="M592" s="1539"/>
      <c r="R592" s="460"/>
      <c r="S592" s="460"/>
      <c r="T592" s="460"/>
    </row>
    <row r="593" spans="13:20" s="378" customFormat="1">
      <c r="M593" s="1539"/>
      <c r="R593" s="460"/>
      <c r="S593" s="460"/>
      <c r="T593" s="460"/>
    </row>
    <row r="594" spans="13:20" s="378" customFormat="1">
      <c r="M594" s="1539"/>
      <c r="R594" s="460"/>
      <c r="S594" s="460"/>
      <c r="T594" s="460"/>
    </row>
    <row r="595" spans="13:20" s="378" customFormat="1">
      <c r="M595" s="1539"/>
      <c r="R595" s="460"/>
      <c r="S595" s="460"/>
      <c r="T595" s="460"/>
    </row>
    <row r="596" spans="13:20" s="378" customFormat="1">
      <c r="M596" s="1539"/>
      <c r="R596" s="460"/>
      <c r="S596" s="460"/>
      <c r="T596" s="460"/>
    </row>
    <row r="597" spans="13:20" s="378" customFormat="1">
      <c r="M597" s="1539"/>
      <c r="R597" s="460"/>
      <c r="S597" s="460"/>
      <c r="T597" s="460"/>
    </row>
    <row r="598" spans="13:20" s="378" customFormat="1">
      <c r="M598" s="1539"/>
      <c r="R598" s="460"/>
      <c r="S598" s="460"/>
      <c r="T598" s="460"/>
    </row>
    <row r="599" spans="13:20" s="378" customFormat="1">
      <c r="M599" s="1539"/>
      <c r="R599" s="460"/>
      <c r="S599" s="460"/>
      <c r="T599" s="460"/>
    </row>
    <row r="600" spans="13:20" s="378" customFormat="1">
      <c r="M600" s="1539"/>
      <c r="R600" s="460"/>
      <c r="S600" s="460"/>
      <c r="T600" s="460"/>
    </row>
    <row r="601" spans="13:20" s="378" customFormat="1">
      <c r="M601" s="1539"/>
      <c r="R601" s="460"/>
      <c r="S601" s="460"/>
      <c r="T601" s="460"/>
    </row>
    <row r="602" spans="13:20" s="378" customFormat="1">
      <c r="M602" s="1539"/>
      <c r="R602" s="460"/>
      <c r="S602" s="460"/>
      <c r="T602" s="460"/>
    </row>
    <row r="603" spans="13:20" s="378" customFormat="1">
      <c r="M603" s="1539"/>
      <c r="R603" s="460"/>
      <c r="S603" s="460"/>
      <c r="T603" s="460"/>
    </row>
    <row r="604" spans="13:20" s="378" customFormat="1">
      <c r="M604" s="1539"/>
      <c r="R604" s="460"/>
      <c r="S604" s="460"/>
      <c r="T604" s="460"/>
    </row>
    <row r="605" spans="13:20" s="378" customFormat="1">
      <c r="M605" s="1539"/>
      <c r="R605" s="460"/>
      <c r="S605" s="460"/>
      <c r="T605" s="460"/>
    </row>
    <row r="606" spans="13:20" s="378" customFormat="1">
      <c r="M606" s="1539"/>
      <c r="R606" s="460"/>
      <c r="S606" s="460"/>
      <c r="T606" s="460"/>
    </row>
    <row r="607" spans="13:20" s="378" customFormat="1">
      <c r="M607" s="1539"/>
      <c r="R607" s="460"/>
      <c r="S607" s="460"/>
      <c r="T607" s="460"/>
    </row>
    <row r="608" spans="13:20" s="378" customFormat="1">
      <c r="M608" s="1539"/>
      <c r="R608" s="460"/>
      <c r="S608" s="460"/>
      <c r="T608" s="460"/>
    </row>
    <row r="609" spans="13:20" s="378" customFormat="1">
      <c r="M609" s="1539"/>
      <c r="R609" s="460"/>
      <c r="S609" s="460"/>
      <c r="T609" s="460"/>
    </row>
    <row r="610" spans="13:20" s="378" customFormat="1">
      <c r="M610" s="1539"/>
      <c r="R610" s="460"/>
      <c r="S610" s="460"/>
      <c r="T610" s="460"/>
    </row>
    <row r="611" spans="13:20" s="378" customFormat="1">
      <c r="M611" s="1539"/>
      <c r="R611" s="460"/>
      <c r="S611" s="460"/>
      <c r="T611" s="460"/>
    </row>
    <row r="612" spans="13:20" s="378" customFormat="1">
      <c r="M612" s="1539"/>
      <c r="R612" s="460"/>
      <c r="S612" s="460"/>
      <c r="T612" s="460"/>
    </row>
    <row r="613" spans="13:20" s="378" customFormat="1">
      <c r="M613" s="1539"/>
      <c r="R613" s="460"/>
      <c r="S613" s="460"/>
      <c r="T613" s="460"/>
    </row>
    <row r="614" spans="13:20" s="378" customFormat="1">
      <c r="M614" s="1539"/>
      <c r="R614" s="460"/>
      <c r="S614" s="460"/>
      <c r="T614" s="460"/>
    </row>
    <row r="615" spans="13:20" s="378" customFormat="1">
      <c r="M615" s="1539"/>
      <c r="R615" s="460"/>
      <c r="S615" s="460"/>
      <c r="T615" s="460"/>
    </row>
    <row r="616" spans="13:20" s="378" customFormat="1">
      <c r="M616" s="1539"/>
      <c r="R616" s="460"/>
      <c r="S616" s="460"/>
      <c r="T616" s="460"/>
    </row>
    <row r="617" spans="13:20" s="378" customFormat="1">
      <c r="M617" s="1539"/>
      <c r="R617" s="460"/>
      <c r="S617" s="460"/>
      <c r="T617" s="460"/>
    </row>
    <row r="618" spans="13:20" s="378" customFormat="1">
      <c r="M618" s="1539"/>
      <c r="R618" s="460"/>
      <c r="S618" s="460"/>
      <c r="T618" s="460"/>
    </row>
    <row r="619" spans="13:20" s="378" customFormat="1">
      <c r="M619" s="1539"/>
      <c r="R619" s="460"/>
      <c r="S619" s="460"/>
      <c r="T619" s="460"/>
    </row>
    <row r="620" spans="13:20" s="378" customFormat="1">
      <c r="M620" s="1539"/>
      <c r="R620" s="460"/>
      <c r="S620" s="460"/>
      <c r="T620" s="460"/>
    </row>
    <row r="621" spans="13:20" s="378" customFormat="1">
      <c r="M621" s="1539"/>
      <c r="R621" s="460"/>
      <c r="S621" s="460"/>
      <c r="T621" s="460"/>
    </row>
    <row r="622" spans="13:20" s="378" customFormat="1">
      <c r="M622" s="1539"/>
      <c r="R622" s="460"/>
      <c r="S622" s="460"/>
      <c r="T622" s="460"/>
    </row>
    <row r="623" spans="13:20" s="378" customFormat="1">
      <c r="M623" s="1539"/>
      <c r="R623" s="460"/>
      <c r="S623" s="460"/>
      <c r="T623" s="460"/>
    </row>
    <row r="624" spans="13:20" s="378" customFormat="1">
      <c r="M624" s="1539"/>
      <c r="R624" s="460"/>
      <c r="S624" s="460"/>
      <c r="T624" s="460"/>
    </row>
    <row r="625" spans="13:20" s="378" customFormat="1">
      <c r="M625" s="1539"/>
      <c r="R625" s="460"/>
      <c r="S625" s="460"/>
      <c r="T625" s="460"/>
    </row>
    <row r="626" spans="13:20" s="378" customFormat="1">
      <c r="M626" s="1539"/>
      <c r="R626" s="460"/>
      <c r="S626" s="460"/>
      <c r="T626" s="460"/>
    </row>
    <row r="627" spans="13:20" s="378" customFormat="1">
      <c r="M627" s="1539"/>
      <c r="R627" s="460"/>
      <c r="S627" s="460"/>
      <c r="T627" s="460"/>
    </row>
    <row r="628" spans="13:20" s="378" customFormat="1">
      <c r="M628" s="1539"/>
      <c r="R628" s="460"/>
      <c r="S628" s="460"/>
      <c r="T628" s="460"/>
    </row>
    <row r="629" spans="13:20" s="378" customFormat="1">
      <c r="M629" s="1539"/>
      <c r="R629" s="460"/>
      <c r="S629" s="460"/>
      <c r="T629" s="460"/>
    </row>
    <row r="630" spans="13:20" s="378" customFormat="1">
      <c r="M630" s="1539"/>
      <c r="R630" s="460"/>
      <c r="S630" s="460"/>
      <c r="T630" s="460"/>
    </row>
    <row r="631" spans="13:20" s="378" customFormat="1">
      <c r="M631" s="1539"/>
      <c r="R631" s="460"/>
      <c r="S631" s="460"/>
      <c r="T631" s="460"/>
    </row>
    <row r="632" spans="13:20" s="378" customFormat="1">
      <c r="M632" s="1539"/>
      <c r="R632" s="460"/>
      <c r="S632" s="460"/>
      <c r="T632" s="460"/>
    </row>
    <row r="633" spans="13:20" s="378" customFormat="1">
      <c r="M633" s="1539"/>
      <c r="R633" s="460"/>
      <c r="S633" s="460"/>
      <c r="T633" s="460"/>
    </row>
    <row r="634" spans="13:20" s="378" customFormat="1">
      <c r="M634" s="1539"/>
      <c r="R634" s="460"/>
      <c r="S634" s="460"/>
      <c r="T634" s="460"/>
    </row>
    <row r="635" spans="13:20" s="378" customFormat="1">
      <c r="M635" s="1539"/>
      <c r="R635" s="460"/>
      <c r="S635" s="460"/>
      <c r="T635" s="460"/>
    </row>
    <row r="636" spans="13:20" s="378" customFormat="1">
      <c r="M636" s="1539"/>
      <c r="R636" s="460"/>
      <c r="S636" s="460"/>
      <c r="T636" s="460"/>
    </row>
    <row r="637" spans="13:20" s="378" customFormat="1">
      <c r="M637" s="1539"/>
      <c r="R637" s="460"/>
      <c r="S637" s="460"/>
      <c r="T637" s="460"/>
    </row>
    <row r="638" spans="13:20" s="378" customFormat="1">
      <c r="M638" s="1539"/>
      <c r="R638" s="460"/>
      <c r="S638" s="460"/>
      <c r="T638" s="460"/>
    </row>
    <row r="639" spans="13:20" s="378" customFormat="1">
      <c r="M639" s="1539"/>
      <c r="R639" s="460"/>
      <c r="S639" s="460"/>
      <c r="T639" s="460"/>
    </row>
    <row r="640" spans="13:20" s="378" customFormat="1">
      <c r="M640" s="1539"/>
      <c r="R640" s="460"/>
      <c r="S640" s="460"/>
      <c r="T640" s="460"/>
    </row>
    <row r="641" spans="13:20" s="378" customFormat="1">
      <c r="M641" s="1539"/>
      <c r="R641" s="460"/>
      <c r="S641" s="460"/>
      <c r="T641" s="460"/>
    </row>
    <row r="642" spans="13:20" s="378" customFormat="1">
      <c r="M642" s="1539"/>
      <c r="R642" s="460"/>
      <c r="S642" s="460"/>
      <c r="T642" s="460"/>
    </row>
    <row r="643" spans="13:20" s="378" customFormat="1">
      <c r="M643" s="1539"/>
      <c r="R643" s="460"/>
      <c r="S643" s="460"/>
      <c r="T643" s="460"/>
    </row>
    <row r="644" spans="13:20" s="378" customFormat="1">
      <c r="M644" s="1539"/>
      <c r="R644" s="460"/>
      <c r="S644" s="460"/>
      <c r="T644" s="460"/>
    </row>
    <row r="645" spans="13:20" s="378" customFormat="1">
      <c r="M645" s="1539"/>
      <c r="R645" s="460"/>
      <c r="S645" s="460"/>
      <c r="T645" s="460"/>
    </row>
    <row r="646" spans="13:20" s="378" customFormat="1">
      <c r="M646" s="1539"/>
      <c r="R646" s="460"/>
      <c r="S646" s="460"/>
      <c r="T646" s="460"/>
    </row>
    <row r="647" spans="13:20" s="378" customFormat="1">
      <c r="M647" s="1539"/>
      <c r="R647" s="460"/>
      <c r="S647" s="460"/>
      <c r="T647" s="460"/>
    </row>
    <row r="648" spans="13:20" s="378" customFormat="1">
      <c r="M648" s="1539"/>
      <c r="R648" s="460"/>
      <c r="S648" s="460"/>
      <c r="T648" s="460"/>
    </row>
    <row r="649" spans="13:20" s="378" customFormat="1">
      <c r="M649" s="1539"/>
      <c r="R649" s="460"/>
      <c r="S649" s="460"/>
      <c r="T649" s="460"/>
    </row>
    <row r="650" spans="13:20" s="378" customFormat="1">
      <c r="M650" s="1539"/>
      <c r="R650" s="460"/>
      <c r="S650" s="460"/>
      <c r="T650" s="460"/>
    </row>
    <row r="651" spans="13:20" s="378" customFormat="1">
      <c r="M651" s="1539"/>
      <c r="R651" s="460"/>
      <c r="S651" s="460"/>
      <c r="T651" s="460"/>
    </row>
    <row r="652" spans="13:20" s="378" customFormat="1">
      <c r="M652" s="1539"/>
      <c r="R652" s="460"/>
      <c r="S652" s="460"/>
      <c r="T652" s="460"/>
    </row>
    <row r="653" spans="13:20" s="378" customFormat="1">
      <c r="M653" s="1539"/>
      <c r="R653" s="460"/>
      <c r="S653" s="460"/>
      <c r="T653" s="460"/>
    </row>
    <row r="654" spans="13:20" s="378" customFormat="1">
      <c r="M654" s="1539"/>
      <c r="R654" s="460"/>
      <c r="S654" s="460"/>
      <c r="T654" s="460"/>
    </row>
    <row r="655" spans="13:20" s="378" customFormat="1">
      <c r="M655" s="1539"/>
      <c r="R655" s="460"/>
      <c r="S655" s="460"/>
      <c r="T655" s="460"/>
    </row>
    <row r="656" spans="13:20" s="378" customFormat="1">
      <c r="M656" s="1539"/>
      <c r="R656" s="460"/>
      <c r="S656" s="460"/>
      <c r="T656" s="460"/>
    </row>
    <row r="657" spans="13:20" s="378" customFormat="1">
      <c r="M657" s="1539"/>
      <c r="R657" s="460"/>
      <c r="S657" s="460"/>
      <c r="T657" s="460"/>
    </row>
    <row r="658" spans="13:20" s="378" customFormat="1">
      <c r="M658" s="1539"/>
      <c r="R658" s="460"/>
      <c r="S658" s="460"/>
      <c r="T658" s="460"/>
    </row>
    <row r="659" spans="13:20" s="378" customFormat="1">
      <c r="M659" s="1539"/>
      <c r="R659" s="460"/>
      <c r="S659" s="460"/>
      <c r="T659" s="460"/>
    </row>
    <row r="660" spans="13:20" s="378" customFormat="1">
      <c r="M660" s="1539"/>
      <c r="R660" s="460"/>
      <c r="S660" s="460"/>
      <c r="T660" s="460"/>
    </row>
    <row r="661" spans="13:20" s="378" customFormat="1">
      <c r="M661" s="1539"/>
      <c r="R661" s="460"/>
      <c r="S661" s="460"/>
      <c r="T661" s="460"/>
    </row>
    <row r="662" spans="13:20" s="378" customFormat="1">
      <c r="M662" s="1539"/>
      <c r="R662" s="460"/>
      <c r="S662" s="460"/>
      <c r="T662" s="460"/>
    </row>
    <row r="663" spans="13:20" s="378" customFormat="1">
      <c r="M663" s="1539"/>
      <c r="R663" s="460"/>
      <c r="S663" s="460"/>
      <c r="T663" s="460"/>
    </row>
    <row r="664" spans="13:20" s="378" customFormat="1">
      <c r="M664" s="1539"/>
      <c r="R664" s="460"/>
      <c r="S664" s="460"/>
      <c r="T664" s="460"/>
    </row>
    <row r="665" spans="13:20" s="378" customFormat="1">
      <c r="M665" s="1539"/>
      <c r="R665" s="460"/>
      <c r="S665" s="460"/>
      <c r="T665" s="460"/>
    </row>
    <row r="666" spans="13:20" s="378" customFormat="1">
      <c r="M666" s="1539"/>
      <c r="R666" s="460"/>
      <c r="S666" s="460"/>
      <c r="T666" s="460"/>
    </row>
    <row r="667" spans="13:20" s="378" customFormat="1">
      <c r="M667" s="1539"/>
      <c r="R667" s="460"/>
      <c r="S667" s="460"/>
      <c r="T667" s="460"/>
    </row>
    <row r="668" spans="13:20" s="378" customFormat="1">
      <c r="M668" s="1539"/>
      <c r="R668" s="460"/>
      <c r="S668" s="460"/>
      <c r="T668" s="460"/>
    </row>
    <row r="669" spans="13:20" s="378" customFormat="1">
      <c r="M669" s="1539"/>
      <c r="R669" s="460"/>
      <c r="S669" s="460"/>
      <c r="T669" s="460"/>
    </row>
    <row r="670" spans="13:20" s="378" customFormat="1">
      <c r="M670" s="1539"/>
      <c r="R670" s="460"/>
      <c r="S670" s="460"/>
      <c r="T670" s="460"/>
    </row>
    <row r="671" spans="13:20" s="378" customFormat="1">
      <c r="M671" s="1539"/>
      <c r="R671" s="460"/>
      <c r="S671" s="460"/>
      <c r="T671" s="460"/>
    </row>
    <row r="672" spans="13:20" s="378" customFormat="1">
      <c r="M672" s="1539"/>
      <c r="R672" s="460"/>
      <c r="S672" s="460"/>
      <c r="T672" s="460"/>
    </row>
    <row r="673" spans="13:20" s="378" customFormat="1">
      <c r="M673" s="1539"/>
      <c r="R673" s="460"/>
      <c r="S673" s="460"/>
      <c r="T673" s="460"/>
    </row>
    <row r="674" spans="13:20" s="378" customFormat="1">
      <c r="M674" s="1539"/>
      <c r="R674" s="460"/>
      <c r="S674" s="460"/>
      <c r="T674" s="460"/>
    </row>
    <row r="675" spans="13:20" s="378" customFormat="1">
      <c r="M675" s="1539"/>
      <c r="R675" s="460"/>
      <c r="S675" s="460"/>
      <c r="T675" s="460"/>
    </row>
    <row r="676" spans="13:20" s="378" customFormat="1">
      <c r="M676" s="1539"/>
      <c r="R676" s="460"/>
      <c r="S676" s="460"/>
      <c r="T676" s="460"/>
    </row>
    <row r="677" spans="13:20" s="378" customFormat="1">
      <c r="M677" s="1539"/>
      <c r="R677" s="460"/>
      <c r="S677" s="460"/>
      <c r="T677" s="460"/>
    </row>
    <row r="678" spans="13:20" s="378" customFormat="1">
      <c r="M678" s="1539"/>
      <c r="R678" s="460"/>
      <c r="S678" s="460"/>
      <c r="T678" s="460"/>
    </row>
    <row r="679" spans="13:20" s="378" customFormat="1">
      <c r="M679" s="1539"/>
      <c r="R679" s="460"/>
      <c r="S679" s="460"/>
      <c r="T679" s="460"/>
    </row>
    <row r="680" spans="13:20" s="378" customFormat="1">
      <c r="M680" s="1539"/>
      <c r="R680" s="460"/>
      <c r="S680" s="460"/>
      <c r="T680" s="460"/>
    </row>
    <row r="681" spans="13:20" s="378" customFormat="1">
      <c r="M681" s="1539"/>
      <c r="R681" s="460"/>
      <c r="S681" s="460"/>
      <c r="T681" s="460"/>
    </row>
    <row r="682" spans="13:20" s="378" customFormat="1">
      <c r="M682" s="1539"/>
      <c r="R682" s="460"/>
      <c r="S682" s="460"/>
      <c r="T682" s="460"/>
    </row>
    <row r="683" spans="13:20" s="378" customFormat="1">
      <c r="M683" s="1539"/>
      <c r="R683" s="460"/>
      <c r="S683" s="460"/>
      <c r="T683" s="460"/>
    </row>
    <row r="684" spans="13:20" s="378" customFormat="1">
      <c r="M684" s="1539"/>
      <c r="R684" s="460"/>
      <c r="S684" s="460"/>
      <c r="T684" s="460"/>
    </row>
    <row r="685" spans="13:20" s="378" customFormat="1">
      <c r="M685" s="1539"/>
      <c r="R685" s="460"/>
      <c r="S685" s="460"/>
      <c r="T685" s="460"/>
    </row>
    <row r="686" spans="13:20" s="378" customFormat="1">
      <c r="M686" s="1539"/>
      <c r="R686" s="460"/>
      <c r="S686" s="460"/>
      <c r="T686" s="460"/>
    </row>
    <row r="687" spans="13:20" s="378" customFormat="1">
      <c r="M687" s="1539"/>
      <c r="R687" s="460"/>
      <c r="S687" s="460"/>
      <c r="T687" s="460"/>
    </row>
    <row r="688" spans="13:20" s="378" customFormat="1">
      <c r="M688" s="1539"/>
      <c r="R688" s="460"/>
      <c r="S688" s="460"/>
      <c r="T688" s="460"/>
    </row>
    <row r="689" spans="13:20" s="378" customFormat="1">
      <c r="M689" s="1539"/>
      <c r="R689" s="460"/>
      <c r="S689" s="460"/>
      <c r="T689" s="460"/>
    </row>
    <row r="690" spans="13:20" s="378" customFormat="1">
      <c r="M690" s="1539"/>
      <c r="R690" s="460"/>
      <c r="S690" s="460"/>
      <c r="T690" s="460"/>
    </row>
    <row r="691" spans="13:20" s="378" customFormat="1">
      <c r="M691" s="1539"/>
      <c r="R691" s="460"/>
      <c r="S691" s="460"/>
      <c r="T691" s="460"/>
    </row>
    <row r="692" spans="13:20" s="378" customFormat="1">
      <c r="M692" s="1539"/>
      <c r="R692" s="460"/>
      <c r="S692" s="460"/>
      <c r="T692" s="460"/>
    </row>
    <row r="693" spans="13:20" s="378" customFormat="1">
      <c r="M693" s="1539"/>
      <c r="R693" s="460"/>
      <c r="S693" s="460"/>
      <c r="T693" s="460"/>
    </row>
    <row r="694" spans="13:20" s="378" customFormat="1">
      <c r="M694" s="1539"/>
      <c r="R694" s="460"/>
      <c r="S694" s="460"/>
      <c r="T694" s="460"/>
    </row>
    <row r="695" spans="13:20" s="378" customFormat="1">
      <c r="M695" s="1539"/>
      <c r="R695" s="460"/>
      <c r="S695" s="460"/>
      <c r="T695" s="460"/>
    </row>
    <row r="696" spans="13:20" s="378" customFormat="1">
      <c r="M696" s="1539"/>
      <c r="R696" s="460"/>
      <c r="S696" s="460"/>
      <c r="T696" s="460"/>
    </row>
    <row r="697" spans="13:20" s="378" customFormat="1">
      <c r="M697" s="1539"/>
      <c r="R697" s="460"/>
      <c r="S697" s="460"/>
      <c r="T697" s="460"/>
    </row>
    <row r="698" spans="13:20" s="378" customFormat="1">
      <c r="M698" s="1539"/>
      <c r="R698" s="460"/>
      <c r="S698" s="460"/>
      <c r="T698" s="460"/>
    </row>
    <row r="699" spans="13:20" s="378" customFormat="1">
      <c r="M699" s="1539"/>
      <c r="R699" s="460"/>
      <c r="S699" s="460"/>
      <c r="T699" s="460"/>
    </row>
    <row r="700" spans="13:20" s="378" customFormat="1">
      <c r="M700" s="1539"/>
      <c r="R700" s="460"/>
      <c r="S700" s="460"/>
      <c r="T700" s="460"/>
    </row>
    <row r="701" spans="13:20" s="378" customFormat="1">
      <c r="M701" s="1539"/>
      <c r="R701" s="460"/>
      <c r="S701" s="460"/>
      <c r="T701" s="460"/>
    </row>
    <row r="702" spans="13:20" s="378" customFormat="1">
      <c r="M702" s="1539"/>
      <c r="R702" s="460"/>
      <c r="S702" s="460"/>
      <c r="T702" s="460"/>
    </row>
    <row r="703" spans="13:20" s="378" customFormat="1">
      <c r="M703" s="1539"/>
      <c r="R703" s="460"/>
      <c r="S703" s="460"/>
      <c r="T703" s="460"/>
    </row>
    <row r="704" spans="13:20" s="378" customFormat="1">
      <c r="M704" s="1539"/>
      <c r="R704" s="460"/>
      <c r="S704" s="460"/>
      <c r="T704" s="460"/>
    </row>
    <row r="705" spans="13:20" s="378" customFormat="1">
      <c r="M705" s="1539"/>
      <c r="R705" s="460"/>
      <c r="S705" s="460"/>
      <c r="T705" s="460"/>
    </row>
    <row r="706" spans="13:20" s="378" customFormat="1">
      <c r="M706" s="1539"/>
      <c r="R706" s="460"/>
      <c r="S706" s="460"/>
      <c r="T706" s="460"/>
    </row>
    <row r="707" spans="13:20" s="378" customFormat="1">
      <c r="M707" s="1539"/>
      <c r="R707" s="460"/>
      <c r="S707" s="460"/>
      <c r="T707" s="460"/>
    </row>
    <row r="708" spans="13:20" s="378" customFormat="1">
      <c r="M708" s="1539"/>
      <c r="R708" s="460"/>
      <c r="S708" s="460"/>
      <c r="T708" s="460"/>
    </row>
    <row r="709" spans="13:20" s="378" customFormat="1">
      <c r="M709" s="1539"/>
      <c r="R709" s="460"/>
      <c r="S709" s="460"/>
      <c r="T709" s="460"/>
    </row>
    <row r="710" spans="13:20" s="378" customFormat="1">
      <c r="M710" s="1539"/>
      <c r="R710" s="460"/>
      <c r="S710" s="460"/>
      <c r="T710" s="460"/>
    </row>
    <row r="711" spans="13:20" s="378" customFormat="1">
      <c r="M711" s="1539"/>
      <c r="R711" s="460"/>
      <c r="S711" s="460"/>
      <c r="T711" s="460"/>
    </row>
    <row r="712" spans="13:20" s="378" customFormat="1">
      <c r="M712" s="1539"/>
      <c r="R712" s="460"/>
      <c r="S712" s="460"/>
      <c r="T712" s="460"/>
    </row>
    <row r="713" spans="13:20" s="378" customFormat="1">
      <c r="M713" s="1539"/>
      <c r="R713" s="460"/>
      <c r="S713" s="460"/>
      <c r="T713" s="460"/>
    </row>
    <row r="714" spans="13:20" s="378" customFormat="1">
      <c r="M714" s="1539"/>
      <c r="R714" s="460"/>
      <c r="S714" s="460"/>
      <c r="T714" s="460"/>
    </row>
    <row r="715" spans="13:20" s="378" customFormat="1">
      <c r="M715" s="1539"/>
      <c r="R715" s="460"/>
      <c r="S715" s="460"/>
      <c r="T715" s="460"/>
    </row>
    <row r="716" spans="13:20" s="378" customFormat="1">
      <c r="M716" s="1539"/>
      <c r="R716" s="460"/>
      <c r="S716" s="460"/>
      <c r="T716" s="460"/>
    </row>
    <row r="717" spans="13:20" s="378" customFormat="1">
      <c r="M717" s="1539"/>
      <c r="R717" s="460"/>
      <c r="S717" s="460"/>
      <c r="T717" s="460"/>
    </row>
    <row r="718" spans="13:20" s="378" customFormat="1">
      <c r="M718" s="1539"/>
      <c r="R718" s="460"/>
      <c r="S718" s="460"/>
      <c r="T718" s="460"/>
    </row>
    <row r="719" spans="13:20" s="378" customFormat="1">
      <c r="M719" s="1539"/>
      <c r="R719" s="460"/>
      <c r="S719" s="460"/>
      <c r="T719" s="460"/>
    </row>
    <row r="720" spans="13:20" s="378" customFormat="1">
      <c r="M720" s="1539"/>
      <c r="R720" s="460"/>
      <c r="S720" s="460"/>
      <c r="T720" s="460"/>
    </row>
    <row r="721" spans="13:20" s="378" customFormat="1">
      <c r="M721" s="1539"/>
      <c r="R721" s="460"/>
      <c r="S721" s="460"/>
      <c r="T721" s="460"/>
    </row>
    <row r="722" spans="13:20" s="378" customFormat="1">
      <c r="M722" s="1539"/>
      <c r="R722" s="460"/>
      <c r="S722" s="460"/>
      <c r="T722" s="460"/>
    </row>
    <row r="723" spans="13:20" s="378" customFormat="1">
      <c r="M723" s="1539"/>
      <c r="R723" s="460"/>
      <c r="S723" s="460"/>
      <c r="T723" s="460"/>
    </row>
    <row r="724" spans="13:20" s="378" customFormat="1">
      <c r="M724" s="1539"/>
      <c r="R724" s="460"/>
      <c r="S724" s="460"/>
      <c r="T724" s="460"/>
    </row>
    <row r="725" spans="13:20" s="378" customFormat="1">
      <c r="M725" s="1539"/>
      <c r="R725" s="460"/>
      <c r="S725" s="460"/>
      <c r="T725" s="460"/>
    </row>
    <row r="726" spans="13:20" s="378" customFormat="1">
      <c r="M726" s="1539"/>
      <c r="R726" s="460"/>
      <c r="S726" s="460"/>
      <c r="T726" s="460"/>
    </row>
    <row r="727" spans="13:20" s="378" customFormat="1">
      <c r="M727" s="1539"/>
      <c r="R727" s="460"/>
      <c r="S727" s="460"/>
      <c r="T727" s="460"/>
    </row>
    <row r="728" spans="13:20" s="378" customFormat="1">
      <c r="M728" s="1539"/>
      <c r="R728" s="460"/>
      <c r="S728" s="460"/>
      <c r="T728" s="460"/>
    </row>
    <row r="729" spans="13:20" s="378" customFormat="1">
      <c r="M729" s="1539"/>
      <c r="R729" s="460"/>
      <c r="S729" s="460"/>
      <c r="T729" s="460"/>
    </row>
    <row r="730" spans="13:20" s="378" customFormat="1">
      <c r="M730" s="1539"/>
      <c r="R730" s="460"/>
      <c r="S730" s="460"/>
      <c r="T730" s="460"/>
    </row>
    <row r="731" spans="13:20" s="378" customFormat="1">
      <c r="M731" s="1539"/>
      <c r="R731" s="460"/>
      <c r="S731" s="460"/>
      <c r="T731" s="460"/>
    </row>
    <row r="732" spans="13:20" s="378" customFormat="1">
      <c r="M732" s="1539"/>
      <c r="R732" s="460"/>
      <c r="S732" s="460"/>
      <c r="T732" s="460"/>
    </row>
    <row r="733" spans="13:20" s="378" customFormat="1">
      <c r="M733" s="1539"/>
      <c r="R733" s="460"/>
      <c r="S733" s="460"/>
      <c r="T733" s="460"/>
    </row>
    <row r="734" spans="13:20" s="378" customFormat="1">
      <c r="M734" s="1539"/>
      <c r="R734" s="460"/>
      <c r="S734" s="460"/>
      <c r="T734" s="460"/>
    </row>
    <row r="735" spans="13:20" s="378" customFormat="1">
      <c r="M735" s="1539"/>
      <c r="R735" s="460"/>
      <c r="S735" s="460"/>
      <c r="T735" s="460"/>
    </row>
    <row r="736" spans="13:20" s="378" customFormat="1">
      <c r="M736" s="1539"/>
      <c r="R736" s="460"/>
      <c r="S736" s="460"/>
      <c r="T736" s="460"/>
    </row>
    <row r="737" spans="13:20" s="378" customFormat="1">
      <c r="M737" s="1539"/>
      <c r="R737" s="460"/>
      <c r="S737" s="460"/>
      <c r="T737" s="460"/>
    </row>
    <row r="738" spans="13:20" s="378" customFormat="1">
      <c r="M738" s="1539"/>
      <c r="R738" s="460"/>
      <c r="S738" s="460"/>
      <c r="T738" s="460"/>
    </row>
    <row r="739" spans="13:20" s="378" customFormat="1">
      <c r="M739" s="1539"/>
      <c r="R739" s="460"/>
      <c r="S739" s="460"/>
      <c r="T739" s="460"/>
    </row>
    <row r="740" spans="13:20" s="378" customFormat="1">
      <c r="M740" s="1539"/>
      <c r="R740" s="460"/>
      <c r="S740" s="460"/>
      <c r="T740" s="460"/>
    </row>
    <row r="741" spans="13:20" s="378" customFormat="1">
      <c r="M741" s="1539"/>
      <c r="R741" s="460"/>
      <c r="S741" s="460"/>
      <c r="T741" s="460"/>
    </row>
    <row r="742" spans="13:20" s="378" customFormat="1">
      <c r="M742" s="1539"/>
      <c r="R742" s="460"/>
      <c r="S742" s="460"/>
      <c r="T742" s="460"/>
    </row>
    <row r="743" spans="13:20" s="378" customFormat="1">
      <c r="M743" s="1539"/>
      <c r="R743" s="460"/>
      <c r="S743" s="460"/>
      <c r="T743" s="460"/>
    </row>
    <row r="744" spans="13:20" s="378" customFormat="1">
      <c r="M744" s="1539"/>
      <c r="R744" s="460"/>
      <c r="S744" s="460"/>
      <c r="T744" s="460"/>
    </row>
    <row r="745" spans="13:20" s="378" customFormat="1">
      <c r="M745" s="1539"/>
      <c r="R745" s="460"/>
      <c r="S745" s="460"/>
      <c r="T745" s="460"/>
    </row>
    <row r="746" spans="13:20" s="378" customFormat="1">
      <c r="M746" s="1539"/>
      <c r="R746" s="460"/>
      <c r="S746" s="460"/>
      <c r="T746" s="460"/>
    </row>
    <row r="747" spans="13:20" s="378" customFormat="1">
      <c r="M747" s="1539"/>
      <c r="R747" s="460"/>
      <c r="S747" s="460"/>
      <c r="T747" s="460"/>
    </row>
    <row r="748" spans="13:20" s="378" customFormat="1">
      <c r="M748" s="1539"/>
      <c r="R748" s="460"/>
      <c r="S748" s="460"/>
      <c r="T748" s="460"/>
    </row>
    <row r="749" spans="13:20" s="378" customFormat="1">
      <c r="M749" s="1539"/>
      <c r="R749" s="460"/>
      <c r="S749" s="460"/>
      <c r="T749" s="460"/>
    </row>
    <row r="750" spans="13:20" s="378" customFormat="1">
      <c r="M750" s="1539"/>
      <c r="R750" s="460"/>
      <c r="S750" s="460"/>
      <c r="T750" s="460"/>
    </row>
    <row r="751" spans="13:20" s="378" customFormat="1">
      <c r="M751" s="1539"/>
      <c r="R751" s="460"/>
      <c r="S751" s="460"/>
      <c r="T751" s="460"/>
    </row>
    <row r="752" spans="13:20" s="378" customFormat="1">
      <c r="M752" s="1539"/>
      <c r="R752" s="460"/>
      <c r="S752" s="460"/>
      <c r="T752" s="460"/>
    </row>
    <row r="753" spans="13:20" s="378" customFormat="1">
      <c r="M753" s="1539"/>
      <c r="R753" s="460"/>
      <c r="S753" s="460"/>
      <c r="T753" s="460"/>
    </row>
    <row r="754" spans="13:20" s="378" customFormat="1">
      <c r="M754" s="1539"/>
      <c r="R754" s="460"/>
      <c r="S754" s="460"/>
      <c r="T754" s="460"/>
    </row>
    <row r="755" spans="13:20" s="378" customFormat="1">
      <c r="M755" s="1539"/>
      <c r="R755" s="460"/>
      <c r="S755" s="460"/>
      <c r="T755" s="460"/>
    </row>
    <row r="756" spans="13:20" s="378" customFormat="1">
      <c r="M756" s="1539"/>
      <c r="R756" s="460"/>
      <c r="S756" s="460"/>
      <c r="T756" s="460"/>
    </row>
    <row r="757" spans="13:20" s="378" customFormat="1">
      <c r="M757" s="1539"/>
      <c r="R757" s="460"/>
      <c r="S757" s="460"/>
      <c r="T757" s="460"/>
    </row>
    <row r="758" spans="13:20" s="378" customFormat="1">
      <c r="M758" s="1539"/>
      <c r="R758" s="460"/>
      <c r="S758" s="460"/>
      <c r="T758" s="460"/>
    </row>
    <row r="759" spans="13:20" s="378" customFormat="1">
      <c r="M759" s="1539"/>
      <c r="R759" s="460"/>
      <c r="S759" s="460"/>
      <c r="T759" s="460"/>
    </row>
    <row r="760" spans="13:20" s="378" customFormat="1">
      <c r="M760" s="1539"/>
      <c r="R760" s="460"/>
      <c r="S760" s="460"/>
      <c r="T760" s="460"/>
    </row>
    <row r="761" spans="13:20" s="378" customFormat="1">
      <c r="M761" s="1539"/>
      <c r="R761" s="460"/>
      <c r="S761" s="460"/>
      <c r="T761" s="460"/>
    </row>
    <row r="762" spans="13:20" s="378" customFormat="1">
      <c r="M762" s="1539"/>
      <c r="R762" s="460"/>
      <c r="S762" s="460"/>
      <c r="T762" s="460"/>
    </row>
    <row r="763" spans="13:20" s="378" customFormat="1">
      <c r="M763" s="1539"/>
      <c r="R763" s="460"/>
      <c r="S763" s="460"/>
      <c r="T763" s="460"/>
    </row>
    <row r="764" spans="13:20" s="378" customFormat="1">
      <c r="M764" s="1539"/>
      <c r="R764" s="460"/>
      <c r="S764" s="460"/>
      <c r="T764" s="460"/>
    </row>
    <row r="765" spans="13:20" s="378" customFormat="1">
      <c r="M765" s="1539"/>
      <c r="R765" s="460"/>
      <c r="S765" s="460"/>
      <c r="T765" s="460"/>
    </row>
    <row r="766" spans="13:20" s="378" customFormat="1">
      <c r="M766" s="1539"/>
      <c r="R766" s="460"/>
      <c r="S766" s="460"/>
      <c r="T766" s="460"/>
    </row>
    <row r="767" spans="13:20" s="378" customFormat="1">
      <c r="M767" s="1539"/>
      <c r="R767" s="460"/>
      <c r="S767" s="460"/>
      <c r="T767" s="460"/>
    </row>
    <row r="768" spans="13:20" s="378" customFormat="1">
      <c r="M768" s="1539"/>
      <c r="R768" s="460"/>
      <c r="S768" s="460"/>
      <c r="T768" s="460"/>
    </row>
    <row r="769" spans="13:20" s="378" customFormat="1">
      <c r="M769" s="1539"/>
      <c r="R769" s="460"/>
      <c r="S769" s="460"/>
      <c r="T769" s="460"/>
    </row>
    <row r="770" spans="13:20" s="378" customFormat="1">
      <c r="M770" s="1539"/>
      <c r="R770" s="460"/>
      <c r="S770" s="460"/>
      <c r="T770" s="460"/>
    </row>
    <row r="771" spans="13:20" s="378" customFormat="1">
      <c r="M771" s="1539"/>
      <c r="R771" s="460"/>
      <c r="S771" s="460"/>
      <c r="T771" s="460"/>
    </row>
    <row r="772" spans="13:20" s="378" customFormat="1">
      <c r="M772" s="1539"/>
      <c r="R772" s="460"/>
      <c r="S772" s="460"/>
      <c r="T772" s="460"/>
    </row>
    <row r="773" spans="13:20" s="378" customFormat="1">
      <c r="M773" s="1539"/>
      <c r="R773" s="460"/>
      <c r="S773" s="460"/>
      <c r="T773" s="460"/>
    </row>
    <row r="774" spans="13:20" s="378" customFormat="1">
      <c r="M774" s="1539"/>
      <c r="R774" s="460"/>
      <c r="S774" s="460"/>
      <c r="T774" s="460"/>
    </row>
    <row r="775" spans="13:20" s="378" customFormat="1">
      <c r="M775" s="1539"/>
      <c r="R775" s="460"/>
      <c r="S775" s="460"/>
      <c r="T775" s="460"/>
    </row>
    <row r="776" spans="13:20" s="378" customFormat="1">
      <c r="M776" s="1539"/>
      <c r="R776" s="460"/>
      <c r="S776" s="460"/>
      <c r="T776" s="460"/>
    </row>
    <row r="777" spans="13:20" s="378" customFormat="1">
      <c r="M777" s="1539"/>
      <c r="R777" s="460"/>
      <c r="S777" s="460"/>
      <c r="T777" s="460"/>
    </row>
    <row r="778" spans="13:20" s="378" customFormat="1">
      <c r="M778" s="1539"/>
      <c r="R778" s="460"/>
      <c r="S778" s="460"/>
      <c r="T778" s="460"/>
    </row>
    <row r="779" spans="13:20" s="378" customFormat="1">
      <c r="M779" s="1539"/>
      <c r="R779" s="460"/>
      <c r="S779" s="460"/>
      <c r="T779" s="460"/>
    </row>
    <row r="780" spans="13:20" s="378" customFormat="1">
      <c r="M780" s="1539"/>
      <c r="R780" s="460"/>
      <c r="S780" s="460"/>
      <c r="T780" s="460"/>
    </row>
    <row r="781" spans="13:20" s="378" customFormat="1">
      <c r="M781" s="1539"/>
      <c r="R781" s="460"/>
      <c r="S781" s="460"/>
      <c r="T781" s="460"/>
    </row>
    <row r="782" spans="13:20" s="378" customFormat="1">
      <c r="M782" s="1539"/>
      <c r="R782" s="460"/>
      <c r="S782" s="460"/>
      <c r="T782" s="460"/>
    </row>
    <row r="783" spans="13:20" s="378" customFormat="1">
      <c r="M783" s="1539"/>
      <c r="R783" s="460"/>
      <c r="S783" s="460"/>
      <c r="T783" s="460"/>
    </row>
    <row r="784" spans="13:20" s="378" customFormat="1">
      <c r="M784" s="1539"/>
      <c r="R784" s="460"/>
      <c r="S784" s="460"/>
      <c r="T784" s="460"/>
    </row>
    <row r="785" spans="13:20" s="378" customFormat="1">
      <c r="M785" s="1539"/>
      <c r="R785" s="460"/>
      <c r="S785" s="460"/>
      <c r="T785" s="460"/>
    </row>
    <row r="786" spans="13:20" s="378" customFormat="1">
      <c r="M786" s="1539"/>
      <c r="R786" s="460"/>
      <c r="S786" s="460"/>
      <c r="T786" s="460"/>
    </row>
    <row r="787" spans="13:20" s="378" customFormat="1">
      <c r="M787" s="1539"/>
      <c r="R787" s="460"/>
      <c r="S787" s="460"/>
      <c r="T787" s="460"/>
    </row>
    <row r="788" spans="13:20" s="378" customFormat="1">
      <c r="M788" s="1539"/>
      <c r="R788" s="460"/>
      <c r="S788" s="460"/>
      <c r="T788" s="460"/>
    </row>
    <row r="789" spans="13:20" s="378" customFormat="1">
      <c r="M789" s="1539"/>
      <c r="R789" s="460"/>
      <c r="S789" s="460"/>
      <c r="T789" s="460"/>
    </row>
    <row r="790" spans="13:20" s="378" customFormat="1">
      <c r="M790" s="1539"/>
      <c r="R790" s="460"/>
      <c r="S790" s="460"/>
      <c r="T790" s="460"/>
    </row>
    <row r="791" spans="13:20" s="378" customFormat="1">
      <c r="M791" s="1539"/>
      <c r="R791" s="460"/>
      <c r="S791" s="460"/>
      <c r="T791" s="460"/>
    </row>
    <row r="792" spans="13:20" s="378" customFormat="1">
      <c r="M792" s="1539"/>
      <c r="R792" s="460"/>
      <c r="S792" s="460"/>
      <c r="T792" s="460"/>
    </row>
    <row r="793" spans="13:20" s="378" customFormat="1">
      <c r="M793" s="1539"/>
      <c r="R793" s="460"/>
      <c r="S793" s="460"/>
      <c r="T793" s="460"/>
    </row>
    <row r="794" spans="13:20" s="378" customFormat="1">
      <c r="M794" s="1539"/>
      <c r="R794" s="460"/>
      <c r="S794" s="460"/>
      <c r="T794" s="460"/>
    </row>
    <row r="795" spans="13:20" s="378" customFormat="1">
      <c r="M795" s="1539"/>
      <c r="R795" s="460"/>
      <c r="S795" s="460"/>
      <c r="T795" s="460"/>
    </row>
    <row r="796" spans="13:20" s="378" customFormat="1">
      <c r="M796" s="1539"/>
      <c r="R796" s="460"/>
      <c r="S796" s="460"/>
      <c r="T796" s="460"/>
    </row>
    <row r="797" spans="13:20" s="378" customFormat="1">
      <c r="M797" s="1539"/>
      <c r="R797" s="460"/>
      <c r="S797" s="460"/>
      <c r="T797" s="460"/>
    </row>
    <row r="798" spans="13:20" s="378" customFormat="1">
      <c r="M798" s="1539"/>
      <c r="R798" s="460"/>
      <c r="S798" s="460"/>
      <c r="T798" s="460"/>
    </row>
    <row r="799" spans="13:20" s="378" customFormat="1">
      <c r="M799" s="1539"/>
      <c r="R799" s="460"/>
      <c r="S799" s="460"/>
      <c r="T799" s="460"/>
    </row>
    <row r="800" spans="13:20" s="378" customFormat="1">
      <c r="M800" s="1539"/>
      <c r="R800" s="460"/>
      <c r="S800" s="460"/>
      <c r="T800" s="460"/>
    </row>
    <row r="801" spans="13:20" s="378" customFormat="1">
      <c r="M801" s="1539"/>
      <c r="R801" s="460"/>
      <c r="S801" s="460"/>
      <c r="T801" s="460"/>
    </row>
    <row r="802" spans="13:20" s="378" customFormat="1">
      <c r="M802" s="1539"/>
      <c r="R802" s="460"/>
      <c r="S802" s="460"/>
      <c r="T802" s="460"/>
    </row>
    <row r="803" spans="13:20" s="378" customFormat="1">
      <c r="M803" s="1539"/>
      <c r="R803" s="460"/>
      <c r="S803" s="460"/>
      <c r="T803" s="460"/>
    </row>
    <row r="804" spans="13:20" s="378" customFormat="1">
      <c r="M804" s="1539"/>
      <c r="R804" s="460"/>
      <c r="S804" s="460"/>
      <c r="T804" s="460"/>
    </row>
    <row r="805" spans="13:20" s="378" customFormat="1">
      <c r="M805" s="1539"/>
      <c r="R805" s="460"/>
      <c r="S805" s="460"/>
      <c r="T805" s="460"/>
    </row>
    <row r="806" spans="13:20" s="378" customFormat="1">
      <c r="M806" s="1539"/>
      <c r="R806" s="460"/>
      <c r="S806" s="460"/>
      <c r="T806" s="460"/>
    </row>
    <row r="807" spans="13:20" s="378" customFormat="1">
      <c r="M807" s="1539"/>
      <c r="R807" s="460"/>
      <c r="S807" s="460"/>
      <c r="T807" s="460"/>
    </row>
    <row r="808" spans="13:20" s="378" customFormat="1">
      <c r="M808" s="1539"/>
      <c r="R808" s="460"/>
      <c r="S808" s="460"/>
      <c r="T808" s="460"/>
    </row>
    <row r="809" spans="13:20" s="378" customFormat="1">
      <c r="M809" s="1539"/>
      <c r="R809" s="460"/>
      <c r="S809" s="460"/>
      <c r="T809" s="460"/>
    </row>
    <row r="810" spans="13:20" s="378" customFormat="1">
      <c r="M810" s="1539"/>
      <c r="R810" s="460"/>
      <c r="S810" s="460"/>
      <c r="T810" s="460"/>
    </row>
    <row r="811" spans="13:20" s="378" customFormat="1">
      <c r="M811" s="1539"/>
      <c r="R811" s="460"/>
      <c r="S811" s="460"/>
      <c r="T811" s="460"/>
    </row>
    <row r="812" spans="13:20" s="378" customFormat="1">
      <c r="M812" s="1539"/>
      <c r="R812" s="460"/>
      <c r="S812" s="460"/>
      <c r="T812" s="460"/>
    </row>
    <row r="813" spans="13:20" s="378" customFormat="1">
      <c r="M813" s="1539"/>
      <c r="R813" s="460"/>
      <c r="S813" s="460"/>
      <c r="T813" s="460"/>
    </row>
    <row r="814" spans="13:20" s="378" customFormat="1">
      <c r="M814" s="1539"/>
      <c r="R814" s="460"/>
      <c r="S814" s="460"/>
      <c r="T814" s="460"/>
    </row>
    <row r="815" spans="13:20" s="378" customFormat="1">
      <c r="M815" s="1539"/>
      <c r="R815" s="460"/>
      <c r="S815" s="460"/>
      <c r="T815" s="460"/>
    </row>
    <row r="816" spans="13:20" s="378" customFormat="1">
      <c r="M816" s="1539"/>
      <c r="R816" s="460"/>
      <c r="S816" s="460"/>
      <c r="T816" s="460"/>
    </row>
    <row r="817" spans="13:20" s="378" customFormat="1">
      <c r="M817" s="1539"/>
      <c r="R817" s="460"/>
      <c r="S817" s="460"/>
      <c r="T817" s="460"/>
    </row>
    <row r="818" spans="13:20" s="378" customFormat="1">
      <c r="M818" s="1539"/>
      <c r="R818" s="460"/>
      <c r="S818" s="460"/>
      <c r="T818" s="460"/>
    </row>
    <row r="819" spans="13:20" s="378" customFormat="1">
      <c r="M819" s="1539"/>
      <c r="R819" s="460"/>
      <c r="S819" s="460"/>
      <c r="T819" s="460"/>
    </row>
    <row r="820" spans="13:20" s="378" customFormat="1">
      <c r="M820" s="1539"/>
      <c r="R820" s="460"/>
      <c r="S820" s="460"/>
      <c r="T820" s="460"/>
    </row>
    <row r="821" spans="13:20" s="378" customFormat="1">
      <c r="M821" s="1539"/>
      <c r="R821" s="460"/>
      <c r="S821" s="460"/>
      <c r="T821" s="460"/>
    </row>
    <row r="822" spans="13:20" s="378" customFormat="1">
      <c r="M822" s="1539"/>
      <c r="R822" s="460"/>
      <c r="S822" s="460"/>
      <c r="T822" s="460"/>
    </row>
    <row r="823" spans="13:20" s="378" customFormat="1">
      <c r="M823" s="1539"/>
      <c r="R823" s="460"/>
      <c r="S823" s="460"/>
      <c r="T823" s="460"/>
    </row>
    <row r="824" spans="13:20" s="378" customFormat="1">
      <c r="M824" s="1539"/>
      <c r="R824" s="460"/>
      <c r="S824" s="460"/>
      <c r="T824" s="460"/>
    </row>
    <row r="825" spans="13:20" s="378" customFormat="1">
      <c r="M825" s="1539"/>
      <c r="R825" s="460"/>
      <c r="S825" s="460"/>
      <c r="T825" s="460"/>
    </row>
    <row r="826" spans="13:20" s="378" customFormat="1">
      <c r="M826" s="1539"/>
      <c r="R826" s="460"/>
      <c r="S826" s="460"/>
      <c r="T826" s="460"/>
    </row>
    <row r="827" spans="13:20" s="378" customFormat="1">
      <c r="M827" s="1539"/>
      <c r="R827" s="460"/>
      <c r="S827" s="460"/>
      <c r="T827" s="460"/>
    </row>
    <row r="828" spans="13:20" s="378" customFormat="1">
      <c r="M828" s="1539"/>
      <c r="R828" s="460"/>
      <c r="S828" s="460"/>
      <c r="T828" s="460"/>
    </row>
    <row r="829" spans="13:20" s="378" customFormat="1">
      <c r="M829" s="1539"/>
      <c r="R829" s="460"/>
      <c r="S829" s="460"/>
      <c r="T829" s="460"/>
    </row>
    <row r="830" spans="13:20" s="378" customFormat="1">
      <c r="M830" s="1539"/>
      <c r="R830" s="460"/>
      <c r="S830" s="460"/>
      <c r="T830" s="460"/>
    </row>
    <row r="831" spans="13:20" s="378" customFormat="1">
      <c r="M831" s="1539"/>
      <c r="R831" s="460"/>
      <c r="S831" s="460"/>
      <c r="T831" s="460"/>
    </row>
    <row r="832" spans="13:20" s="378" customFormat="1">
      <c r="M832" s="1539"/>
      <c r="R832" s="460"/>
      <c r="S832" s="460"/>
      <c r="T832" s="460"/>
    </row>
    <row r="833" spans="13:20" s="378" customFormat="1">
      <c r="M833" s="1539"/>
      <c r="R833" s="460"/>
      <c r="S833" s="460"/>
      <c r="T833" s="460"/>
    </row>
    <row r="834" spans="13:20" s="378" customFormat="1">
      <c r="M834" s="1539"/>
      <c r="R834" s="460"/>
      <c r="S834" s="460"/>
      <c r="T834" s="460"/>
    </row>
    <row r="835" spans="13:20" s="378" customFormat="1">
      <c r="M835" s="1539"/>
      <c r="R835" s="460"/>
      <c r="S835" s="460"/>
      <c r="T835" s="460"/>
    </row>
    <row r="836" spans="13:20" s="378" customFormat="1">
      <c r="M836" s="1539"/>
      <c r="R836" s="460"/>
      <c r="S836" s="460"/>
      <c r="T836" s="460"/>
    </row>
    <row r="837" spans="13:20" s="378" customFormat="1">
      <c r="M837" s="1539"/>
      <c r="R837" s="460"/>
      <c r="S837" s="460"/>
      <c r="T837" s="460"/>
    </row>
    <row r="838" spans="13:20" s="378" customFormat="1">
      <c r="M838" s="1539"/>
      <c r="R838" s="460"/>
      <c r="S838" s="460"/>
      <c r="T838" s="460"/>
    </row>
    <row r="839" spans="13:20" s="378" customFormat="1">
      <c r="M839" s="1539"/>
      <c r="R839" s="460"/>
      <c r="S839" s="460"/>
      <c r="T839" s="460"/>
    </row>
    <row r="840" spans="13:20" s="378" customFormat="1">
      <c r="M840" s="1539"/>
      <c r="R840" s="460"/>
      <c r="S840" s="460"/>
      <c r="T840" s="460"/>
    </row>
    <row r="841" spans="13:20" s="378" customFormat="1">
      <c r="M841" s="1539"/>
      <c r="R841" s="460"/>
      <c r="S841" s="460"/>
      <c r="T841" s="460"/>
    </row>
    <row r="842" spans="13:20" s="378" customFormat="1">
      <c r="M842" s="1539"/>
      <c r="R842" s="460"/>
      <c r="S842" s="460"/>
      <c r="T842" s="460"/>
    </row>
    <row r="843" spans="13:20" s="378" customFormat="1">
      <c r="M843" s="1539"/>
      <c r="R843" s="460"/>
      <c r="S843" s="460"/>
      <c r="T843" s="460"/>
    </row>
    <row r="844" spans="13:20" s="378" customFormat="1">
      <c r="M844" s="1539"/>
      <c r="R844" s="460"/>
      <c r="S844" s="460"/>
      <c r="T844" s="460"/>
    </row>
    <row r="845" spans="13:20" s="378" customFormat="1">
      <c r="M845" s="1539"/>
      <c r="R845" s="460"/>
      <c r="S845" s="460"/>
      <c r="T845" s="460"/>
    </row>
    <row r="846" spans="13:20" s="378" customFormat="1">
      <c r="M846" s="1539"/>
      <c r="R846" s="460"/>
      <c r="S846" s="460"/>
      <c r="T846" s="460"/>
    </row>
    <row r="847" spans="13:20" s="378" customFormat="1">
      <c r="M847" s="1539"/>
      <c r="R847" s="460"/>
      <c r="S847" s="460"/>
      <c r="T847" s="460"/>
    </row>
    <row r="848" spans="13:20" s="378" customFormat="1">
      <c r="M848" s="1539"/>
      <c r="R848" s="460"/>
      <c r="S848" s="460"/>
      <c r="T848" s="460"/>
    </row>
    <row r="849" spans="13:20" s="378" customFormat="1">
      <c r="M849" s="1539"/>
      <c r="R849" s="460"/>
      <c r="S849" s="460"/>
      <c r="T849" s="460"/>
    </row>
    <row r="850" spans="13:20" s="378" customFormat="1">
      <c r="M850" s="1539"/>
      <c r="R850" s="460"/>
      <c r="S850" s="460"/>
      <c r="T850" s="460"/>
    </row>
    <row r="851" spans="13:20" s="378" customFormat="1">
      <c r="M851" s="1539"/>
      <c r="R851" s="460"/>
      <c r="S851" s="460"/>
      <c r="T851" s="460"/>
    </row>
    <row r="852" spans="13:20" s="378" customFormat="1">
      <c r="M852" s="1539"/>
      <c r="R852" s="460"/>
      <c r="S852" s="460"/>
      <c r="T852" s="460"/>
    </row>
    <row r="853" spans="13:20" s="378" customFormat="1">
      <c r="M853" s="1539"/>
      <c r="R853" s="460"/>
      <c r="S853" s="460"/>
      <c r="T853" s="460"/>
    </row>
    <row r="854" spans="13:20" s="378" customFormat="1">
      <c r="M854" s="1539"/>
      <c r="R854" s="460"/>
      <c r="S854" s="460"/>
      <c r="T854" s="460"/>
    </row>
    <row r="855" spans="13:20" s="378" customFormat="1">
      <c r="M855" s="1539"/>
      <c r="R855" s="460"/>
      <c r="S855" s="460"/>
      <c r="T855" s="460"/>
    </row>
    <row r="856" spans="13:20" s="378" customFormat="1">
      <c r="M856" s="1539"/>
      <c r="R856" s="460"/>
      <c r="S856" s="460"/>
      <c r="T856" s="460"/>
    </row>
    <row r="857" spans="13:20" s="378" customFormat="1">
      <c r="M857" s="1539"/>
      <c r="R857" s="460"/>
      <c r="S857" s="460"/>
      <c r="T857" s="460"/>
    </row>
    <row r="858" spans="13:20" s="378" customFormat="1">
      <c r="M858" s="1539"/>
      <c r="R858" s="460"/>
      <c r="S858" s="460"/>
      <c r="T858" s="460"/>
    </row>
    <row r="859" spans="13:20" s="378" customFormat="1">
      <c r="M859" s="1539"/>
      <c r="R859" s="460"/>
      <c r="S859" s="460"/>
      <c r="T859" s="460"/>
    </row>
    <row r="860" spans="13:20" s="378" customFormat="1">
      <c r="M860" s="1539"/>
      <c r="R860" s="460"/>
      <c r="S860" s="460"/>
      <c r="T860" s="460"/>
    </row>
    <row r="861" spans="13:20" s="378" customFormat="1">
      <c r="M861" s="1539"/>
      <c r="R861" s="460"/>
      <c r="S861" s="460"/>
      <c r="T861" s="460"/>
    </row>
    <row r="862" spans="13:20" s="378" customFormat="1">
      <c r="M862" s="1539"/>
      <c r="R862" s="460"/>
      <c r="S862" s="460"/>
      <c r="T862" s="460"/>
    </row>
    <row r="863" spans="13:20" s="378" customFormat="1">
      <c r="M863" s="1539"/>
      <c r="R863" s="460"/>
      <c r="S863" s="460"/>
      <c r="T863" s="460"/>
    </row>
    <row r="864" spans="13:20" s="378" customFormat="1">
      <c r="M864" s="1539"/>
      <c r="R864" s="460"/>
      <c r="S864" s="460"/>
      <c r="T864" s="460"/>
    </row>
    <row r="865" spans="13:20" s="378" customFormat="1">
      <c r="M865" s="1539"/>
      <c r="R865" s="460"/>
      <c r="S865" s="460"/>
      <c r="T865" s="460"/>
    </row>
    <row r="866" spans="13:20" s="378" customFormat="1">
      <c r="M866" s="1539"/>
      <c r="R866" s="460"/>
      <c r="S866" s="460"/>
      <c r="T866" s="460"/>
    </row>
    <row r="867" spans="13:20" s="378" customFormat="1">
      <c r="M867" s="1539"/>
      <c r="R867" s="460"/>
      <c r="S867" s="460"/>
      <c r="T867" s="460"/>
    </row>
    <row r="868" spans="13:20" s="378" customFormat="1">
      <c r="M868" s="1539"/>
      <c r="R868" s="460"/>
      <c r="S868" s="460"/>
      <c r="T868" s="460"/>
    </row>
    <row r="869" spans="13:20" s="378" customFormat="1">
      <c r="M869" s="1539"/>
      <c r="R869" s="460"/>
      <c r="S869" s="460"/>
      <c r="T869" s="460"/>
    </row>
    <row r="870" spans="13:20" s="378" customFormat="1">
      <c r="M870" s="1539"/>
      <c r="R870" s="460"/>
      <c r="S870" s="460"/>
      <c r="T870" s="460"/>
    </row>
    <row r="871" spans="13:20" s="378" customFormat="1">
      <c r="M871" s="1539"/>
      <c r="R871" s="460"/>
      <c r="S871" s="460"/>
      <c r="T871" s="460"/>
    </row>
    <row r="872" spans="13:20" s="378" customFormat="1">
      <c r="M872" s="1539"/>
      <c r="R872" s="460"/>
      <c r="S872" s="460"/>
      <c r="T872" s="460"/>
    </row>
    <row r="873" spans="13:20" s="378" customFormat="1">
      <c r="M873" s="1539"/>
      <c r="R873" s="460"/>
      <c r="S873" s="460"/>
      <c r="T873" s="460"/>
    </row>
    <row r="874" spans="13:20" s="378" customFormat="1">
      <c r="M874" s="1539"/>
      <c r="R874" s="460"/>
      <c r="S874" s="460"/>
      <c r="T874" s="460"/>
    </row>
    <row r="875" spans="13:20" s="378" customFormat="1">
      <c r="M875" s="1539"/>
      <c r="R875" s="460"/>
      <c r="S875" s="460"/>
      <c r="T875" s="460"/>
    </row>
    <row r="876" spans="13:20" s="378" customFormat="1">
      <c r="M876" s="1539"/>
      <c r="R876" s="460"/>
      <c r="S876" s="460"/>
      <c r="T876" s="460"/>
    </row>
    <row r="877" spans="13:20" s="378" customFormat="1">
      <c r="M877" s="1539"/>
      <c r="R877" s="460"/>
      <c r="S877" s="460"/>
      <c r="T877" s="460"/>
    </row>
    <row r="878" spans="13:20" s="378" customFormat="1">
      <c r="M878" s="1539"/>
      <c r="R878" s="460"/>
      <c r="S878" s="460"/>
      <c r="T878" s="460"/>
    </row>
    <row r="879" spans="13:20" s="378" customFormat="1">
      <c r="M879" s="1539"/>
      <c r="R879" s="460"/>
      <c r="S879" s="460"/>
      <c r="T879" s="460"/>
    </row>
    <row r="880" spans="13:20" s="378" customFormat="1">
      <c r="M880" s="1539"/>
      <c r="R880" s="460"/>
      <c r="S880" s="460"/>
      <c r="T880" s="460"/>
    </row>
    <row r="881" spans="13:20" s="378" customFormat="1">
      <c r="M881" s="1539"/>
      <c r="R881" s="460"/>
      <c r="S881" s="460"/>
      <c r="T881" s="460"/>
    </row>
    <row r="882" spans="13:20" s="378" customFormat="1">
      <c r="M882" s="1539"/>
      <c r="R882" s="460"/>
      <c r="S882" s="460"/>
      <c r="T882" s="460"/>
    </row>
    <row r="883" spans="13:20" s="378" customFormat="1">
      <c r="M883" s="1539"/>
      <c r="R883" s="460"/>
      <c r="S883" s="460"/>
      <c r="T883" s="460"/>
    </row>
    <row r="884" spans="13:20" s="378" customFormat="1">
      <c r="M884" s="1539"/>
      <c r="R884" s="460"/>
      <c r="S884" s="460"/>
      <c r="T884" s="460"/>
    </row>
    <row r="885" spans="13:20" s="378" customFormat="1">
      <c r="M885" s="1539"/>
      <c r="R885" s="460"/>
      <c r="S885" s="460"/>
      <c r="T885" s="460"/>
    </row>
    <row r="886" spans="13:20" s="378" customFormat="1">
      <c r="M886" s="1539"/>
      <c r="R886" s="460"/>
      <c r="S886" s="460"/>
      <c r="T886" s="460"/>
    </row>
    <row r="887" spans="13:20" s="378" customFormat="1">
      <c r="M887" s="1539"/>
      <c r="R887" s="460"/>
      <c r="S887" s="460"/>
      <c r="T887" s="460"/>
    </row>
    <row r="888" spans="13:20" s="378" customFormat="1">
      <c r="M888" s="1539"/>
      <c r="R888" s="460"/>
      <c r="S888" s="460"/>
      <c r="T888" s="460"/>
    </row>
    <row r="889" spans="13:20" s="378" customFormat="1">
      <c r="M889" s="1539"/>
      <c r="R889" s="460"/>
      <c r="S889" s="460"/>
      <c r="T889" s="460"/>
    </row>
    <row r="890" spans="13:20" s="378" customFormat="1">
      <c r="M890" s="1539"/>
      <c r="R890" s="460"/>
      <c r="S890" s="460"/>
      <c r="T890" s="460"/>
    </row>
    <row r="891" spans="13:20" s="378" customFormat="1">
      <c r="M891" s="1539"/>
      <c r="R891" s="460"/>
      <c r="S891" s="460"/>
      <c r="T891" s="460"/>
    </row>
    <row r="892" spans="13:20" s="378" customFormat="1">
      <c r="M892" s="1539"/>
      <c r="R892" s="460"/>
      <c r="S892" s="460"/>
      <c r="T892" s="460"/>
    </row>
    <row r="893" spans="13:20" s="378" customFormat="1">
      <c r="M893" s="1539"/>
      <c r="R893" s="460"/>
      <c r="S893" s="460"/>
      <c r="T893" s="460"/>
    </row>
    <row r="894" spans="13:20" s="378" customFormat="1">
      <c r="M894" s="1539"/>
      <c r="R894" s="460"/>
      <c r="S894" s="460"/>
      <c r="T894" s="460"/>
    </row>
    <row r="895" spans="13:20" s="378" customFormat="1">
      <c r="M895" s="1539"/>
      <c r="R895" s="460"/>
      <c r="S895" s="460"/>
      <c r="T895" s="460"/>
    </row>
    <row r="896" spans="13:20" s="378" customFormat="1">
      <c r="M896" s="1539"/>
      <c r="R896" s="460"/>
      <c r="S896" s="460"/>
      <c r="T896" s="460"/>
    </row>
    <row r="897" spans="13:20" s="378" customFormat="1">
      <c r="M897" s="1539"/>
      <c r="R897" s="460"/>
      <c r="S897" s="460"/>
      <c r="T897" s="460"/>
    </row>
    <row r="898" spans="13:20" s="378" customFormat="1">
      <c r="M898" s="1539"/>
      <c r="R898" s="460"/>
      <c r="S898" s="460"/>
      <c r="T898" s="460"/>
    </row>
    <row r="899" spans="13:20" s="378" customFormat="1">
      <c r="M899" s="1539"/>
      <c r="R899" s="460"/>
      <c r="S899" s="460"/>
      <c r="T899" s="460"/>
    </row>
    <row r="900" spans="13:20" s="378" customFormat="1">
      <c r="M900" s="1539"/>
      <c r="R900" s="460"/>
      <c r="S900" s="460"/>
      <c r="T900" s="460"/>
    </row>
    <row r="901" spans="13:20" s="378" customFormat="1">
      <c r="M901" s="1539"/>
      <c r="R901" s="460"/>
      <c r="S901" s="460"/>
      <c r="T901" s="460"/>
    </row>
    <row r="902" spans="13:20" s="378" customFormat="1">
      <c r="M902" s="1539"/>
      <c r="R902" s="460"/>
      <c r="S902" s="460"/>
      <c r="T902" s="460"/>
    </row>
    <row r="903" spans="13:20" s="378" customFormat="1">
      <c r="M903" s="1539"/>
      <c r="R903" s="460"/>
      <c r="S903" s="460"/>
      <c r="T903" s="460"/>
    </row>
    <row r="904" spans="13:20" s="378" customFormat="1">
      <c r="M904" s="1539"/>
      <c r="R904" s="460"/>
      <c r="S904" s="460"/>
      <c r="T904" s="460"/>
    </row>
    <row r="905" spans="13:20" s="378" customFormat="1">
      <c r="M905" s="1539"/>
      <c r="R905" s="460"/>
      <c r="S905" s="460"/>
      <c r="T905" s="460"/>
    </row>
    <row r="906" spans="13:20" s="378" customFormat="1">
      <c r="M906" s="1539"/>
      <c r="R906" s="460"/>
      <c r="S906" s="460"/>
      <c r="T906" s="460"/>
    </row>
    <row r="907" spans="13:20" s="378" customFormat="1">
      <c r="M907" s="1539"/>
      <c r="R907" s="460"/>
      <c r="S907" s="460"/>
      <c r="T907" s="460"/>
    </row>
    <row r="908" spans="13:20" s="378" customFormat="1">
      <c r="M908" s="1539"/>
      <c r="R908" s="460"/>
      <c r="S908" s="460"/>
      <c r="T908" s="460"/>
    </row>
    <row r="909" spans="13:20" s="378" customFormat="1">
      <c r="M909" s="1539"/>
      <c r="R909" s="460"/>
      <c r="S909" s="460"/>
      <c r="T909" s="460"/>
    </row>
    <row r="910" spans="13:20" s="378" customFormat="1">
      <c r="M910" s="1539"/>
      <c r="R910" s="460"/>
      <c r="S910" s="460"/>
      <c r="T910" s="460"/>
    </row>
    <row r="911" spans="13:20" s="378" customFormat="1">
      <c r="M911" s="1539"/>
      <c r="R911" s="460"/>
      <c r="S911" s="460"/>
      <c r="T911" s="460"/>
    </row>
    <row r="912" spans="13:20" s="378" customFormat="1">
      <c r="M912" s="1539"/>
      <c r="R912" s="460"/>
      <c r="S912" s="460"/>
      <c r="T912" s="460"/>
    </row>
    <row r="913" spans="13:20" s="378" customFormat="1">
      <c r="M913" s="1539"/>
      <c r="R913" s="460"/>
      <c r="S913" s="460"/>
      <c r="T913" s="460"/>
    </row>
    <row r="914" spans="13:20" s="378" customFormat="1">
      <c r="M914" s="1539"/>
      <c r="R914" s="460"/>
      <c r="S914" s="460"/>
      <c r="T914" s="460"/>
    </row>
    <row r="915" spans="13:20" s="378" customFormat="1">
      <c r="M915" s="1539"/>
      <c r="R915" s="460"/>
      <c r="S915" s="460"/>
      <c r="T915" s="460"/>
    </row>
    <row r="916" spans="13:20" s="378" customFormat="1">
      <c r="M916" s="1539"/>
      <c r="R916" s="460"/>
      <c r="S916" s="460"/>
      <c r="T916" s="460"/>
    </row>
    <row r="917" spans="13:20" s="378" customFormat="1">
      <c r="M917" s="1539"/>
      <c r="R917" s="460"/>
      <c r="S917" s="460"/>
      <c r="T917" s="460"/>
    </row>
    <row r="918" spans="13:20" s="378" customFormat="1">
      <c r="M918" s="1539"/>
      <c r="R918" s="460"/>
      <c r="S918" s="460"/>
      <c r="T918" s="460"/>
    </row>
    <row r="919" spans="13:20" s="378" customFormat="1">
      <c r="M919" s="1539"/>
      <c r="R919" s="460"/>
      <c r="S919" s="460"/>
      <c r="T919" s="460"/>
    </row>
    <row r="920" spans="13:20" s="378" customFormat="1">
      <c r="M920" s="1539"/>
      <c r="R920" s="460"/>
      <c r="S920" s="460"/>
      <c r="T920" s="460"/>
    </row>
    <row r="921" spans="13:20" s="378" customFormat="1">
      <c r="M921" s="1539"/>
      <c r="R921" s="460"/>
      <c r="S921" s="460"/>
      <c r="T921" s="460"/>
    </row>
    <row r="922" spans="13:20" s="378" customFormat="1">
      <c r="M922" s="1539"/>
      <c r="R922" s="460"/>
      <c r="S922" s="460"/>
      <c r="T922" s="460"/>
    </row>
    <row r="923" spans="13:20" s="378" customFormat="1">
      <c r="M923" s="1539"/>
      <c r="R923" s="460"/>
      <c r="S923" s="460"/>
      <c r="T923" s="460"/>
    </row>
    <row r="924" spans="13:20" s="378" customFormat="1">
      <c r="M924" s="1539"/>
      <c r="R924" s="460"/>
      <c r="S924" s="460"/>
      <c r="T924" s="460"/>
    </row>
    <row r="925" spans="13:20" s="378" customFormat="1">
      <c r="M925" s="1539"/>
      <c r="R925" s="460"/>
      <c r="S925" s="460"/>
      <c r="T925" s="460"/>
    </row>
    <row r="926" spans="13:20" s="378" customFormat="1">
      <c r="M926" s="1539"/>
      <c r="R926" s="460"/>
      <c r="S926" s="460"/>
      <c r="T926" s="460"/>
    </row>
    <row r="927" spans="13:20" s="378" customFormat="1">
      <c r="M927" s="1539"/>
      <c r="R927" s="460"/>
      <c r="S927" s="460"/>
      <c r="T927" s="460"/>
    </row>
    <row r="928" spans="13:20" s="378" customFormat="1">
      <c r="M928" s="1539"/>
      <c r="R928" s="460"/>
      <c r="S928" s="460"/>
      <c r="T928" s="460"/>
    </row>
    <row r="929" spans="13:20" s="378" customFormat="1">
      <c r="M929" s="1539"/>
      <c r="R929" s="460"/>
      <c r="S929" s="460"/>
      <c r="T929" s="460"/>
    </row>
    <row r="930" spans="13:20" s="378" customFormat="1">
      <c r="M930" s="1539"/>
      <c r="R930" s="460"/>
      <c r="S930" s="460"/>
      <c r="T930" s="460"/>
    </row>
    <row r="931" spans="13:20" s="378" customFormat="1">
      <c r="M931" s="1539"/>
      <c r="R931" s="460"/>
      <c r="S931" s="460"/>
      <c r="T931" s="460"/>
    </row>
    <row r="932" spans="13:20" s="378" customFormat="1">
      <c r="M932" s="1539"/>
      <c r="R932" s="460"/>
      <c r="S932" s="460"/>
      <c r="T932" s="460"/>
    </row>
    <row r="933" spans="13:20" s="378" customFormat="1">
      <c r="M933" s="1539"/>
      <c r="R933" s="460"/>
      <c r="S933" s="460"/>
      <c r="T933" s="460"/>
    </row>
    <row r="934" spans="13:20" s="378" customFormat="1">
      <c r="M934" s="1539"/>
      <c r="R934" s="460"/>
      <c r="S934" s="460"/>
      <c r="T934" s="460"/>
    </row>
    <row r="935" spans="13:20" s="378" customFormat="1">
      <c r="M935" s="1539"/>
      <c r="R935" s="460"/>
      <c r="S935" s="460"/>
      <c r="T935" s="460"/>
    </row>
    <row r="936" spans="13:20" s="378" customFormat="1">
      <c r="M936" s="1539"/>
      <c r="R936" s="460"/>
      <c r="S936" s="460"/>
      <c r="T936" s="460"/>
    </row>
    <row r="937" spans="13:20" s="378" customFormat="1">
      <c r="M937" s="1539"/>
      <c r="R937" s="460"/>
      <c r="S937" s="460"/>
      <c r="T937" s="460"/>
    </row>
    <row r="938" spans="13:20" s="378" customFormat="1">
      <c r="M938" s="1539"/>
      <c r="R938" s="460"/>
      <c r="S938" s="460"/>
      <c r="T938" s="460"/>
    </row>
    <row r="939" spans="13:20" s="378" customFormat="1">
      <c r="M939" s="1539"/>
      <c r="R939" s="460"/>
      <c r="S939" s="460"/>
      <c r="T939" s="460"/>
    </row>
    <row r="940" spans="13:20" s="378" customFormat="1">
      <c r="M940" s="1539"/>
      <c r="R940" s="460"/>
      <c r="S940" s="460"/>
      <c r="T940" s="460"/>
    </row>
    <row r="941" spans="13:20" s="378" customFormat="1">
      <c r="M941" s="1539"/>
      <c r="R941" s="460"/>
      <c r="S941" s="460"/>
      <c r="T941" s="460"/>
    </row>
    <row r="942" spans="13:20" s="378" customFormat="1">
      <c r="M942" s="1539"/>
      <c r="R942" s="460"/>
      <c r="S942" s="460"/>
      <c r="T942" s="460"/>
    </row>
    <row r="943" spans="13:20" s="378" customFormat="1">
      <c r="M943" s="1539"/>
      <c r="R943" s="460"/>
      <c r="S943" s="460"/>
      <c r="T943" s="460"/>
    </row>
    <row r="944" spans="13:20" s="378" customFormat="1">
      <c r="M944" s="1539"/>
      <c r="R944" s="460"/>
      <c r="S944" s="460"/>
      <c r="T944" s="460"/>
    </row>
    <row r="945" spans="13:20" s="378" customFormat="1">
      <c r="M945" s="1539"/>
      <c r="R945" s="460"/>
      <c r="S945" s="460"/>
      <c r="T945" s="460"/>
    </row>
    <row r="946" spans="13:20" s="378" customFormat="1">
      <c r="M946" s="1539"/>
      <c r="R946" s="460"/>
      <c r="S946" s="460"/>
      <c r="T946" s="460"/>
    </row>
    <row r="947" spans="13:20" s="378" customFormat="1">
      <c r="M947" s="1539"/>
      <c r="R947" s="460"/>
      <c r="S947" s="460"/>
      <c r="T947" s="460"/>
    </row>
    <row r="948" spans="13:20" s="378" customFormat="1">
      <c r="M948" s="1539"/>
      <c r="R948" s="460"/>
      <c r="S948" s="460"/>
      <c r="T948" s="460"/>
    </row>
    <row r="949" spans="13:20" s="378" customFormat="1">
      <c r="M949" s="1539"/>
      <c r="R949" s="460"/>
      <c r="S949" s="460"/>
      <c r="T949" s="460"/>
    </row>
    <row r="950" spans="13:20" s="378" customFormat="1">
      <c r="M950" s="1539"/>
      <c r="R950" s="460"/>
      <c r="S950" s="460"/>
      <c r="T950" s="460"/>
    </row>
    <row r="951" spans="13:20" s="378" customFormat="1">
      <c r="M951" s="1539"/>
      <c r="R951" s="460"/>
      <c r="S951" s="460"/>
      <c r="T951" s="460"/>
    </row>
    <row r="952" spans="13:20" s="378" customFormat="1">
      <c r="M952" s="1539"/>
      <c r="R952" s="460"/>
      <c r="S952" s="460"/>
      <c r="T952" s="460"/>
    </row>
    <row r="953" spans="13:20" s="378" customFormat="1">
      <c r="M953" s="1539"/>
      <c r="R953" s="460"/>
      <c r="S953" s="460"/>
      <c r="T953" s="460"/>
    </row>
    <row r="954" spans="13:20" s="378" customFormat="1">
      <c r="M954" s="1539"/>
      <c r="R954" s="460"/>
      <c r="S954" s="460"/>
      <c r="T954" s="460"/>
    </row>
    <row r="955" spans="13:20" s="378" customFormat="1">
      <c r="M955" s="1539"/>
      <c r="R955" s="460"/>
      <c r="S955" s="460"/>
      <c r="T955" s="460"/>
    </row>
    <row r="956" spans="13:20" s="378" customFormat="1">
      <c r="M956" s="1539"/>
      <c r="R956" s="460"/>
      <c r="S956" s="460"/>
      <c r="T956" s="460"/>
    </row>
    <row r="957" spans="13:20" s="378" customFormat="1">
      <c r="M957" s="1539"/>
      <c r="R957" s="460"/>
      <c r="S957" s="460"/>
      <c r="T957" s="460"/>
    </row>
    <row r="958" spans="13:20" s="378" customFormat="1">
      <c r="M958" s="1539"/>
      <c r="R958" s="460"/>
      <c r="S958" s="460"/>
      <c r="T958" s="460"/>
    </row>
    <row r="959" spans="13:20" s="378" customFormat="1">
      <c r="M959" s="1539"/>
      <c r="R959" s="460"/>
      <c r="S959" s="460"/>
      <c r="T959" s="460"/>
    </row>
    <row r="960" spans="13:20" s="378" customFormat="1">
      <c r="M960" s="1539"/>
      <c r="R960" s="460"/>
      <c r="S960" s="460"/>
      <c r="T960" s="460"/>
    </row>
    <row r="961" spans="13:20" s="378" customFormat="1">
      <c r="M961" s="1539"/>
      <c r="R961" s="460"/>
      <c r="S961" s="460"/>
      <c r="T961" s="460"/>
    </row>
    <row r="962" spans="13:20" s="378" customFormat="1">
      <c r="M962" s="1539"/>
      <c r="R962" s="460"/>
      <c r="S962" s="460"/>
      <c r="T962" s="460"/>
    </row>
    <row r="963" spans="13:20" s="378" customFormat="1">
      <c r="M963" s="1539"/>
      <c r="R963" s="460"/>
      <c r="S963" s="460"/>
      <c r="T963" s="460"/>
    </row>
    <row r="964" spans="13:20" s="378" customFormat="1">
      <c r="M964" s="1539"/>
      <c r="R964" s="460"/>
      <c r="S964" s="460"/>
      <c r="T964" s="460"/>
    </row>
    <row r="965" spans="13:20" s="378" customFormat="1">
      <c r="M965" s="1539"/>
      <c r="R965" s="460"/>
      <c r="S965" s="460"/>
      <c r="T965" s="460"/>
    </row>
    <row r="966" spans="13:20" s="378" customFormat="1">
      <c r="M966" s="1539"/>
      <c r="R966" s="460"/>
      <c r="S966" s="460"/>
      <c r="T966" s="460"/>
    </row>
    <row r="967" spans="13:20" s="378" customFormat="1">
      <c r="M967" s="1539"/>
      <c r="R967" s="460"/>
      <c r="S967" s="460"/>
      <c r="T967" s="460"/>
    </row>
    <row r="968" spans="13:20" s="378" customFormat="1">
      <c r="M968" s="1539"/>
      <c r="R968" s="460"/>
      <c r="S968" s="460"/>
      <c r="T968" s="460"/>
    </row>
    <row r="969" spans="13:20" s="378" customFormat="1">
      <c r="M969" s="1539"/>
      <c r="R969" s="460"/>
      <c r="S969" s="460"/>
      <c r="T969" s="460"/>
    </row>
    <row r="970" spans="13:20" s="378" customFormat="1">
      <c r="M970" s="1539"/>
      <c r="R970" s="460"/>
      <c r="S970" s="460"/>
      <c r="T970" s="460"/>
    </row>
    <row r="971" spans="13:20" s="378" customFormat="1">
      <c r="M971" s="1539"/>
      <c r="R971" s="460"/>
      <c r="S971" s="460"/>
      <c r="T971" s="460"/>
    </row>
    <row r="972" spans="13:20" s="378" customFormat="1">
      <c r="M972" s="1539"/>
      <c r="R972" s="460"/>
      <c r="S972" s="460"/>
      <c r="T972" s="460"/>
    </row>
    <row r="973" spans="13:20" s="378" customFormat="1">
      <c r="M973" s="1539"/>
      <c r="R973" s="460"/>
      <c r="S973" s="460"/>
      <c r="T973" s="460"/>
    </row>
    <row r="974" spans="13:20" s="378" customFormat="1">
      <c r="M974" s="1539"/>
      <c r="R974" s="460"/>
      <c r="S974" s="460"/>
      <c r="T974" s="460"/>
    </row>
    <row r="975" spans="13:20" s="378" customFormat="1">
      <c r="M975" s="1539"/>
      <c r="R975" s="460"/>
      <c r="S975" s="460"/>
      <c r="T975" s="460"/>
    </row>
    <row r="976" spans="13:20" s="378" customFormat="1">
      <c r="M976" s="1539"/>
      <c r="R976" s="460"/>
      <c r="S976" s="460"/>
      <c r="T976" s="460"/>
    </row>
    <row r="977" spans="13:20" s="378" customFormat="1">
      <c r="M977" s="1539"/>
      <c r="R977" s="460"/>
      <c r="S977" s="460"/>
      <c r="T977" s="460"/>
    </row>
    <row r="978" spans="13:20" s="378" customFormat="1">
      <c r="M978" s="1539"/>
      <c r="R978" s="460"/>
      <c r="S978" s="460"/>
      <c r="T978" s="460"/>
    </row>
    <row r="979" spans="13:20" s="378" customFormat="1">
      <c r="M979" s="1539"/>
      <c r="R979" s="460"/>
      <c r="S979" s="460"/>
      <c r="T979" s="460"/>
    </row>
    <row r="980" spans="13:20" s="378" customFormat="1">
      <c r="M980" s="1539"/>
      <c r="R980" s="460"/>
      <c r="S980" s="460"/>
      <c r="T980" s="460"/>
    </row>
    <row r="981" spans="13:20" s="378" customFormat="1">
      <c r="M981" s="1539"/>
      <c r="R981" s="460"/>
      <c r="S981" s="460"/>
      <c r="T981" s="460"/>
    </row>
    <row r="982" spans="13:20" s="378" customFormat="1">
      <c r="M982" s="1539"/>
      <c r="R982" s="460"/>
      <c r="S982" s="460"/>
      <c r="T982" s="460"/>
    </row>
    <row r="983" spans="13:20" s="378" customFormat="1">
      <c r="M983" s="1539"/>
      <c r="R983" s="460"/>
      <c r="S983" s="460"/>
      <c r="T983" s="460"/>
    </row>
    <row r="984" spans="13:20" s="378" customFormat="1">
      <c r="M984" s="1539"/>
      <c r="R984" s="460"/>
      <c r="S984" s="460"/>
      <c r="T984" s="460"/>
    </row>
    <row r="985" spans="13:20" s="378" customFormat="1">
      <c r="M985" s="1539"/>
      <c r="R985" s="460"/>
      <c r="S985" s="460"/>
      <c r="T985" s="460"/>
    </row>
    <row r="986" spans="13:20" s="378" customFormat="1">
      <c r="M986" s="1539"/>
      <c r="R986" s="460"/>
      <c r="S986" s="460"/>
      <c r="T986" s="460"/>
    </row>
    <row r="987" spans="13:20" s="378" customFormat="1">
      <c r="M987" s="1539"/>
      <c r="R987" s="460"/>
      <c r="S987" s="460"/>
      <c r="T987" s="460"/>
    </row>
    <row r="988" spans="13:20" s="378" customFormat="1">
      <c r="M988" s="1539"/>
      <c r="R988" s="460"/>
      <c r="S988" s="460"/>
      <c r="T988" s="460"/>
    </row>
    <row r="989" spans="13:20" s="378" customFormat="1">
      <c r="M989" s="1539"/>
      <c r="R989" s="460"/>
      <c r="S989" s="460"/>
      <c r="T989" s="460"/>
    </row>
    <row r="990" spans="13:20" s="378" customFormat="1">
      <c r="M990" s="1539"/>
      <c r="R990" s="460"/>
      <c r="S990" s="460"/>
      <c r="T990" s="460"/>
    </row>
    <row r="991" spans="13:20" s="378" customFormat="1">
      <c r="M991" s="1539"/>
      <c r="R991" s="460"/>
      <c r="S991" s="460"/>
      <c r="T991" s="460"/>
    </row>
    <row r="992" spans="13:20" s="378" customFormat="1">
      <c r="M992" s="1539"/>
      <c r="R992" s="460"/>
      <c r="S992" s="460"/>
      <c r="T992" s="460"/>
    </row>
    <row r="993" spans="13:20" s="378" customFormat="1">
      <c r="M993" s="1539"/>
      <c r="R993" s="460"/>
      <c r="S993" s="460"/>
      <c r="T993" s="460"/>
    </row>
    <row r="994" spans="13:20" s="378" customFormat="1">
      <c r="M994" s="1539"/>
      <c r="R994" s="460"/>
      <c r="S994" s="460"/>
      <c r="T994" s="460"/>
    </row>
    <row r="995" spans="13:20" s="378" customFormat="1">
      <c r="M995" s="1539"/>
      <c r="R995" s="460"/>
      <c r="S995" s="460"/>
      <c r="T995" s="460"/>
    </row>
    <row r="996" spans="13:20" s="378" customFormat="1">
      <c r="M996" s="1539"/>
      <c r="R996" s="460"/>
      <c r="S996" s="460"/>
      <c r="T996" s="460"/>
    </row>
    <row r="997" spans="13:20" s="378" customFormat="1">
      <c r="M997" s="1539"/>
      <c r="R997" s="460"/>
      <c r="S997" s="460"/>
      <c r="T997" s="460"/>
    </row>
    <row r="998" spans="13:20" s="378" customFormat="1">
      <c r="M998" s="1539"/>
      <c r="R998" s="460"/>
      <c r="S998" s="460"/>
      <c r="T998" s="460"/>
    </row>
    <row r="999" spans="13:20" s="378" customFormat="1">
      <c r="M999" s="1539"/>
      <c r="R999" s="460"/>
      <c r="S999" s="460"/>
      <c r="T999" s="460"/>
    </row>
    <row r="1000" spans="13:20" s="378" customFormat="1">
      <c r="M1000" s="1539"/>
      <c r="R1000" s="460"/>
      <c r="S1000" s="460"/>
      <c r="T1000" s="460"/>
    </row>
    <row r="1001" spans="13:20" s="378" customFormat="1">
      <c r="M1001" s="1539"/>
      <c r="R1001" s="460"/>
      <c r="S1001" s="460"/>
      <c r="T1001" s="460"/>
    </row>
    <row r="1002" spans="13:20" s="378" customFormat="1">
      <c r="M1002" s="1539"/>
      <c r="R1002" s="460"/>
      <c r="S1002" s="460"/>
      <c r="T1002" s="460"/>
    </row>
    <row r="1003" spans="13:20" s="378" customFormat="1">
      <c r="M1003" s="1539"/>
      <c r="R1003" s="460"/>
      <c r="S1003" s="460"/>
      <c r="T1003" s="460"/>
    </row>
    <row r="1004" spans="13:20" s="378" customFormat="1">
      <c r="M1004" s="1539"/>
      <c r="R1004" s="460"/>
      <c r="S1004" s="460"/>
      <c r="T1004" s="460"/>
    </row>
    <row r="1005" spans="13:20" s="378" customFormat="1">
      <c r="M1005" s="1539"/>
      <c r="R1005" s="460"/>
      <c r="S1005" s="460"/>
      <c r="T1005" s="460"/>
    </row>
    <row r="1006" spans="13:20" s="378" customFormat="1">
      <c r="M1006" s="1539"/>
      <c r="R1006" s="460"/>
      <c r="S1006" s="460"/>
      <c r="T1006" s="460"/>
    </row>
    <row r="1007" spans="13:20" s="378" customFormat="1">
      <c r="M1007" s="1539"/>
      <c r="R1007" s="460"/>
      <c r="S1007" s="460"/>
      <c r="T1007" s="460"/>
    </row>
    <row r="1008" spans="13:20" s="378" customFormat="1">
      <c r="M1008" s="1539"/>
      <c r="R1008" s="460"/>
      <c r="S1008" s="460"/>
      <c r="T1008" s="460"/>
    </row>
    <row r="1009" spans="13:20" s="378" customFormat="1">
      <c r="M1009" s="1539"/>
      <c r="R1009" s="460"/>
      <c r="S1009" s="460"/>
      <c r="T1009" s="460"/>
    </row>
    <row r="1010" spans="13:20" s="378" customFormat="1">
      <c r="M1010" s="1539"/>
      <c r="R1010" s="460"/>
      <c r="S1010" s="460"/>
      <c r="T1010" s="460"/>
    </row>
    <row r="1011" spans="13:20" s="378" customFormat="1">
      <c r="M1011" s="1539"/>
      <c r="R1011" s="460"/>
      <c r="S1011" s="460"/>
      <c r="T1011" s="460"/>
    </row>
    <row r="1012" spans="13:20" s="378" customFormat="1">
      <c r="M1012" s="1539"/>
      <c r="R1012" s="460"/>
      <c r="S1012" s="460"/>
      <c r="T1012" s="460"/>
    </row>
    <row r="1013" spans="13:20" s="378" customFormat="1">
      <c r="M1013" s="1539"/>
      <c r="R1013" s="460"/>
      <c r="S1013" s="460"/>
      <c r="T1013" s="460"/>
    </row>
    <row r="1014" spans="13:20" s="378" customFormat="1">
      <c r="M1014" s="1539"/>
      <c r="R1014" s="460"/>
      <c r="S1014" s="460"/>
      <c r="T1014" s="460"/>
    </row>
    <row r="1015" spans="13:20" s="378" customFormat="1">
      <c r="M1015" s="1539"/>
      <c r="R1015" s="460"/>
      <c r="S1015" s="460"/>
      <c r="T1015" s="460"/>
    </row>
    <row r="1016" spans="13:20" s="378" customFormat="1">
      <c r="M1016" s="1539"/>
      <c r="R1016" s="460"/>
      <c r="S1016" s="460"/>
      <c r="T1016" s="460"/>
    </row>
    <row r="1017" spans="13:20" s="378" customFormat="1">
      <c r="M1017" s="1539"/>
      <c r="R1017" s="460"/>
      <c r="S1017" s="460"/>
      <c r="T1017" s="460"/>
    </row>
    <row r="1018" spans="13:20" s="378" customFormat="1">
      <c r="M1018" s="1539"/>
      <c r="R1018" s="460"/>
      <c r="S1018" s="460"/>
      <c r="T1018" s="460"/>
    </row>
    <row r="1019" spans="13:20" s="378" customFormat="1">
      <c r="M1019" s="1539"/>
      <c r="R1019" s="460"/>
      <c r="S1019" s="460"/>
      <c r="T1019" s="460"/>
    </row>
    <row r="1020" spans="13:20" s="378" customFormat="1">
      <c r="M1020" s="1539"/>
      <c r="R1020" s="460"/>
      <c r="S1020" s="460"/>
      <c r="T1020" s="460"/>
    </row>
    <row r="1021" spans="13:20" s="378" customFormat="1">
      <c r="M1021" s="1539"/>
      <c r="R1021" s="460"/>
      <c r="S1021" s="460"/>
      <c r="T1021" s="460"/>
    </row>
    <row r="1022" spans="13:20" s="378" customFormat="1">
      <c r="M1022" s="1539"/>
      <c r="R1022" s="460"/>
      <c r="S1022" s="460"/>
      <c r="T1022" s="460"/>
    </row>
    <row r="1023" spans="13:20" s="378" customFormat="1">
      <c r="M1023" s="1539"/>
      <c r="R1023" s="460"/>
      <c r="S1023" s="460"/>
      <c r="T1023" s="460"/>
    </row>
    <row r="1024" spans="13:20" s="378" customFormat="1">
      <c r="M1024" s="1539"/>
      <c r="R1024" s="460"/>
      <c r="S1024" s="460"/>
      <c r="T1024" s="460"/>
    </row>
    <row r="1025" spans="13:20" s="378" customFormat="1">
      <c r="M1025" s="1539"/>
      <c r="R1025" s="460"/>
      <c r="S1025" s="460"/>
      <c r="T1025" s="460"/>
    </row>
    <row r="1026" spans="13:20" s="378" customFormat="1">
      <c r="M1026" s="1539"/>
      <c r="R1026" s="460"/>
      <c r="S1026" s="460"/>
      <c r="T1026" s="460"/>
    </row>
    <row r="1027" spans="13:20" s="378" customFormat="1">
      <c r="M1027" s="1539"/>
      <c r="R1027" s="460"/>
      <c r="S1027" s="460"/>
      <c r="T1027" s="460"/>
    </row>
    <row r="1028" spans="13:20" s="378" customFormat="1">
      <c r="M1028" s="1539"/>
      <c r="R1028" s="460"/>
      <c r="S1028" s="460"/>
      <c r="T1028" s="460"/>
    </row>
    <row r="1029" spans="13:20" s="378" customFormat="1">
      <c r="M1029" s="1539"/>
      <c r="R1029" s="460"/>
      <c r="S1029" s="460"/>
      <c r="T1029" s="460"/>
    </row>
    <row r="1030" spans="13:20" s="378" customFormat="1">
      <c r="M1030" s="1539"/>
      <c r="R1030" s="460"/>
      <c r="S1030" s="460"/>
      <c r="T1030" s="460"/>
    </row>
    <row r="1031" spans="13:20" s="378" customFormat="1">
      <c r="M1031" s="1539"/>
      <c r="R1031" s="460"/>
      <c r="S1031" s="460"/>
      <c r="T1031" s="460"/>
    </row>
    <row r="1032" spans="13:20" s="378" customFormat="1">
      <c r="M1032" s="1539"/>
      <c r="R1032" s="460"/>
      <c r="S1032" s="460"/>
      <c r="T1032" s="460"/>
    </row>
    <row r="1033" spans="13:20" s="378" customFormat="1">
      <c r="M1033" s="1539"/>
      <c r="R1033" s="460"/>
      <c r="S1033" s="460"/>
      <c r="T1033" s="460"/>
    </row>
    <row r="1034" spans="13:20" s="378" customFormat="1">
      <c r="M1034" s="1539"/>
      <c r="R1034" s="460"/>
      <c r="S1034" s="460"/>
      <c r="T1034" s="460"/>
    </row>
    <row r="1035" spans="13:20" s="378" customFormat="1">
      <c r="M1035" s="1539"/>
      <c r="R1035" s="460"/>
      <c r="S1035" s="460"/>
      <c r="T1035" s="460"/>
    </row>
    <row r="1036" spans="13:20" s="378" customFormat="1">
      <c r="M1036" s="1539"/>
      <c r="R1036" s="460"/>
      <c r="S1036" s="460"/>
      <c r="T1036" s="460"/>
    </row>
    <row r="1037" spans="13:20" s="378" customFormat="1">
      <c r="M1037" s="1539"/>
      <c r="R1037" s="460"/>
      <c r="S1037" s="460"/>
      <c r="T1037" s="460"/>
    </row>
    <row r="1038" spans="13:20" s="378" customFormat="1">
      <c r="M1038" s="1539"/>
      <c r="R1038" s="460"/>
      <c r="S1038" s="460"/>
      <c r="T1038" s="460"/>
    </row>
    <row r="1039" spans="13:20" s="378" customFormat="1">
      <c r="M1039" s="1539"/>
      <c r="R1039" s="460"/>
      <c r="S1039" s="460"/>
      <c r="T1039" s="460"/>
    </row>
    <row r="1040" spans="13:20" s="378" customFormat="1">
      <c r="M1040" s="1539"/>
      <c r="R1040" s="460"/>
      <c r="S1040" s="460"/>
      <c r="T1040" s="460"/>
    </row>
    <row r="1041" spans="13:20" s="378" customFormat="1">
      <c r="M1041" s="1539"/>
      <c r="R1041" s="460"/>
      <c r="S1041" s="460"/>
      <c r="T1041" s="460"/>
    </row>
    <row r="1042" spans="13:20" s="378" customFormat="1">
      <c r="M1042" s="1539"/>
      <c r="R1042" s="460"/>
      <c r="S1042" s="460"/>
      <c r="T1042" s="460"/>
    </row>
    <row r="1043" spans="13:20" s="378" customFormat="1">
      <c r="M1043" s="1539"/>
      <c r="R1043" s="460"/>
      <c r="S1043" s="460"/>
      <c r="T1043" s="460"/>
    </row>
    <row r="1044" spans="13:20" s="378" customFormat="1">
      <c r="M1044" s="1539"/>
      <c r="R1044" s="460"/>
      <c r="S1044" s="460"/>
      <c r="T1044" s="460"/>
    </row>
    <row r="1045" spans="13:20" s="378" customFormat="1">
      <c r="M1045" s="1539"/>
      <c r="R1045" s="460"/>
      <c r="S1045" s="460"/>
      <c r="T1045" s="460"/>
    </row>
    <row r="1046" spans="13:20" s="378" customFormat="1">
      <c r="M1046" s="1539"/>
      <c r="R1046" s="460"/>
      <c r="S1046" s="460"/>
      <c r="T1046" s="460"/>
    </row>
    <row r="1047" spans="13:20" s="378" customFormat="1">
      <c r="M1047" s="1539"/>
      <c r="R1047" s="460"/>
      <c r="S1047" s="460"/>
      <c r="T1047" s="460"/>
    </row>
    <row r="1048" spans="13:20" s="378" customFormat="1">
      <c r="M1048" s="1539"/>
      <c r="R1048" s="460"/>
      <c r="S1048" s="460"/>
      <c r="T1048" s="460"/>
    </row>
    <row r="1049" spans="13:20" s="378" customFormat="1">
      <c r="M1049" s="1539"/>
      <c r="R1049" s="460"/>
      <c r="S1049" s="460"/>
      <c r="T1049" s="460"/>
    </row>
    <row r="1050" spans="13:20" s="378" customFormat="1">
      <c r="M1050" s="1539"/>
      <c r="R1050" s="460"/>
      <c r="S1050" s="460"/>
      <c r="T1050" s="460"/>
    </row>
    <row r="1051" spans="13:20" s="378" customFormat="1">
      <c r="M1051" s="1539"/>
      <c r="R1051" s="460"/>
      <c r="S1051" s="460"/>
      <c r="T1051" s="460"/>
    </row>
    <row r="1052" spans="13:20" s="378" customFormat="1">
      <c r="M1052" s="1539"/>
      <c r="R1052" s="460"/>
      <c r="S1052" s="460"/>
      <c r="T1052" s="460"/>
    </row>
    <row r="1053" spans="13:20" s="378" customFormat="1">
      <c r="M1053" s="1539"/>
      <c r="R1053" s="460"/>
      <c r="S1053" s="460"/>
      <c r="T1053" s="460"/>
    </row>
    <row r="1054" spans="13:20" s="378" customFormat="1">
      <c r="M1054" s="1539"/>
      <c r="R1054" s="460"/>
      <c r="S1054" s="460"/>
      <c r="T1054" s="460"/>
    </row>
    <row r="1055" spans="13:20" s="378" customFormat="1">
      <c r="M1055" s="1539"/>
      <c r="R1055" s="460"/>
      <c r="S1055" s="460"/>
      <c r="T1055" s="460"/>
    </row>
    <row r="1056" spans="13:20" s="378" customFormat="1">
      <c r="M1056" s="1539"/>
      <c r="R1056" s="460"/>
      <c r="S1056" s="460"/>
      <c r="T1056" s="460"/>
    </row>
    <row r="1057" spans="13:20" s="378" customFormat="1">
      <c r="M1057" s="1539"/>
      <c r="R1057" s="460"/>
      <c r="S1057" s="460"/>
      <c r="T1057" s="460"/>
    </row>
    <row r="1058" spans="13:20" s="378" customFormat="1">
      <c r="M1058" s="1539"/>
      <c r="R1058" s="460"/>
      <c r="S1058" s="460"/>
      <c r="T1058" s="460"/>
    </row>
    <row r="1059" spans="13:20" s="378" customFormat="1">
      <c r="M1059" s="1539"/>
      <c r="R1059" s="460"/>
      <c r="S1059" s="460"/>
      <c r="T1059" s="460"/>
    </row>
    <row r="1060" spans="13:20" s="378" customFormat="1">
      <c r="M1060" s="1539"/>
      <c r="R1060" s="460"/>
      <c r="S1060" s="460"/>
      <c r="T1060" s="460"/>
    </row>
    <row r="1061" spans="13:20" s="378" customFormat="1">
      <c r="M1061" s="1539"/>
      <c r="R1061" s="460"/>
      <c r="S1061" s="460"/>
      <c r="T1061" s="460"/>
    </row>
    <row r="1062" spans="13:20" s="378" customFormat="1">
      <c r="M1062" s="1539"/>
      <c r="R1062" s="460"/>
      <c r="S1062" s="460"/>
      <c r="T1062" s="460"/>
    </row>
    <row r="1063" spans="13:20" s="378" customFormat="1">
      <c r="M1063" s="1539"/>
      <c r="R1063" s="460"/>
      <c r="S1063" s="460"/>
      <c r="T1063" s="460"/>
    </row>
    <row r="1064" spans="13:20" s="378" customFormat="1">
      <c r="M1064" s="1539"/>
      <c r="R1064" s="460"/>
      <c r="S1064" s="460"/>
      <c r="T1064" s="460"/>
    </row>
    <row r="1065" spans="13:20" s="378" customFormat="1">
      <c r="M1065" s="1539"/>
      <c r="R1065" s="460"/>
      <c r="S1065" s="460"/>
      <c r="T1065" s="460"/>
    </row>
    <row r="1066" spans="13:20" s="378" customFormat="1">
      <c r="M1066" s="1539"/>
      <c r="R1066" s="460"/>
      <c r="S1066" s="460"/>
      <c r="T1066" s="460"/>
    </row>
    <row r="1067" spans="13:20" s="378" customFormat="1">
      <c r="M1067" s="1539"/>
      <c r="R1067" s="460"/>
      <c r="S1067" s="460"/>
      <c r="T1067" s="460"/>
    </row>
    <row r="1068" spans="13:20" s="378" customFormat="1">
      <c r="M1068" s="1539"/>
      <c r="R1068" s="460"/>
      <c r="S1068" s="460"/>
      <c r="T1068" s="460"/>
    </row>
    <row r="1069" spans="13:20" s="378" customFormat="1">
      <c r="M1069" s="1539"/>
      <c r="R1069" s="460"/>
      <c r="S1069" s="460"/>
      <c r="T1069" s="460"/>
    </row>
    <row r="1070" spans="13:20" s="378" customFormat="1">
      <c r="M1070" s="1539"/>
      <c r="R1070" s="460"/>
      <c r="S1070" s="460"/>
      <c r="T1070" s="460"/>
    </row>
    <row r="1071" spans="13:20" s="378" customFormat="1">
      <c r="M1071" s="1539"/>
      <c r="R1071" s="460"/>
      <c r="S1071" s="460"/>
      <c r="T1071" s="460"/>
    </row>
    <row r="1072" spans="13:20" s="378" customFormat="1">
      <c r="M1072" s="1539"/>
      <c r="R1072" s="460"/>
      <c r="S1072" s="460"/>
      <c r="T1072" s="460"/>
    </row>
    <row r="1073" spans="13:20" s="378" customFormat="1">
      <c r="M1073" s="1539"/>
      <c r="R1073" s="460"/>
      <c r="S1073" s="460"/>
      <c r="T1073" s="460"/>
    </row>
    <row r="1074" spans="13:20" s="378" customFormat="1">
      <c r="M1074" s="1539"/>
      <c r="R1074" s="460"/>
      <c r="S1074" s="460"/>
      <c r="T1074" s="460"/>
    </row>
    <row r="1075" spans="13:20" s="378" customFormat="1">
      <c r="M1075" s="1539"/>
      <c r="R1075" s="460"/>
      <c r="S1075" s="460"/>
      <c r="T1075" s="460"/>
    </row>
    <row r="1076" spans="13:20" s="378" customFormat="1">
      <c r="M1076" s="1539"/>
      <c r="R1076" s="460"/>
      <c r="S1076" s="460"/>
      <c r="T1076" s="460"/>
    </row>
    <row r="1077" spans="13:20" s="378" customFormat="1">
      <c r="M1077" s="1539"/>
      <c r="R1077" s="460"/>
      <c r="S1077" s="460"/>
      <c r="T1077" s="460"/>
    </row>
    <row r="1078" spans="13:20" s="378" customFormat="1">
      <c r="M1078" s="1539"/>
      <c r="R1078" s="460"/>
      <c r="S1078" s="460"/>
      <c r="T1078" s="460"/>
    </row>
    <row r="1079" spans="13:20" s="378" customFormat="1">
      <c r="M1079" s="1539"/>
      <c r="R1079" s="460"/>
      <c r="S1079" s="460"/>
      <c r="T1079" s="460"/>
    </row>
    <row r="1080" spans="13:20" s="378" customFormat="1">
      <c r="M1080" s="1539"/>
      <c r="R1080" s="460"/>
      <c r="S1080" s="460"/>
      <c r="T1080" s="460"/>
    </row>
    <row r="1081" spans="13:20" s="378" customFormat="1">
      <c r="M1081" s="1539"/>
      <c r="R1081" s="460"/>
      <c r="S1081" s="460"/>
      <c r="T1081" s="460"/>
    </row>
    <row r="1082" spans="13:20" s="378" customFormat="1">
      <c r="M1082" s="1539"/>
      <c r="R1082" s="460"/>
      <c r="S1082" s="460"/>
      <c r="T1082" s="460"/>
    </row>
    <row r="1083" spans="13:20" s="378" customFormat="1">
      <c r="M1083" s="1539"/>
      <c r="R1083" s="460"/>
      <c r="S1083" s="460"/>
      <c r="T1083" s="460"/>
    </row>
    <row r="1084" spans="13:20" s="378" customFormat="1">
      <c r="M1084" s="1539"/>
      <c r="R1084" s="460"/>
      <c r="S1084" s="460"/>
      <c r="T1084" s="460"/>
    </row>
    <row r="1085" spans="13:20" s="378" customFormat="1">
      <c r="M1085" s="1539"/>
      <c r="R1085" s="460"/>
      <c r="S1085" s="460"/>
      <c r="T1085" s="460"/>
    </row>
    <row r="1086" spans="13:20" s="378" customFormat="1">
      <c r="M1086" s="1539"/>
      <c r="R1086" s="460"/>
      <c r="S1086" s="460"/>
      <c r="T1086" s="460"/>
    </row>
    <row r="1087" spans="13:20" s="378" customFormat="1">
      <c r="M1087" s="1539"/>
      <c r="R1087" s="460"/>
      <c r="S1087" s="460"/>
      <c r="T1087" s="460"/>
    </row>
    <row r="1088" spans="13:20" s="378" customFormat="1">
      <c r="M1088" s="1539"/>
      <c r="R1088" s="460"/>
      <c r="S1088" s="460"/>
      <c r="T1088" s="460"/>
    </row>
    <row r="1089" spans="13:20" s="378" customFormat="1">
      <c r="M1089" s="1539"/>
      <c r="R1089" s="460"/>
      <c r="S1089" s="460"/>
      <c r="T1089" s="460"/>
    </row>
    <row r="1090" spans="13:20" s="378" customFormat="1">
      <c r="M1090" s="1539"/>
      <c r="R1090" s="460"/>
      <c r="S1090" s="460"/>
      <c r="T1090" s="460"/>
    </row>
    <row r="1091" spans="13:20" s="378" customFormat="1">
      <c r="M1091" s="1539"/>
      <c r="R1091" s="460"/>
      <c r="S1091" s="460"/>
      <c r="T1091" s="460"/>
    </row>
    <row r="1092" spans="13:20" s="378" customFormat="1">
      <c r="M1092" s="1539"/>
      <c r="R1092" s="460"/>
      <c r="S1092" s="460"/>
      <c r="T1092" s="460"/>
    </row>
    <row r="1093" spans="13:20" s="378" customFormat="1">
      <c r="M1093" s="1539"/>
      <c r="R1093" s="460"/>
      <c r="S1093" s="460"/>
      <c r="T1093" s="460"/>
    </row>
    <row r="1094" spans="13:20" s="378" customFormat="1">
      <c r="M1094" s="1539"/>
      <c r="R1094" s="460"/>
      <c r="S1094" s="460"/>
      <c r="T1094" s="460"/>
    </row>
    <row r="1095" spans="13:20" s="378" customFormat="1">
      <c r="M1095" s="1539"/>
      <c r="R1095" s="460"/>
      <c r="S1095" s="460"/>
      <c r="T1095" s="460"/>
    </row>
    <row r="1096" spans="13:20" s="378" customFormat="1">
      <c r="M1096" s="1539"/>
      <c r="R1096" s="460"/>
      <c r="S1096" s="460"/>
      <c r="T1096" s="460"/>
    </row>
    <row r="1097" spans="13:20" s="378" customFormat="1">
      <c r="M1097" s="1539"/>
      <c r="R1097" s="460"/>
      <c r="S1097" s="460"/>
      <c r="T1097" s="460"/>
    </row>
    <row r="1098" spans="13:20" s="378" customFormat="1">
      <c r="M1098" s="1539"/>
      <c r="R1098" s="460"/>
      <c r="S1098" s="460"/>
      <c r="T1098" s="460"/>
    </row>
    <row r="1099" spans="13:20" s="378" customFormat="1">
      <c r="M1099" s="1539"/>
      <c r="R1099" s="460"/>
      <c r="S1099" s="460"/>
      <c r="T1099" s="460"/>
    </row>
    <row r="1100" spans="13:20" s="378" customFormat="1">
      <c r="M1100" s="1539"/>
      <c r="R1100" s="460"/>
      <c r="S1100" s="460"/>
      <c r="T1100" s="460"/>
    </row>
    <row r="1101" spans="13:20" s="378" customFormat="1">
      <c r="M1101" s="1539"/>
      <c r="R1101" s="460"/>
      <c r="S1101" s="460"/>
      <c r="T1101" s="460"/>
    </row>
    <row r="1102" spans="13:20" s="378" customFormat="1">
      <c r="M1102" s="1539"/>
      <c r="R1102" s="460"/>
      <c r="S1102" s="460"/>
      <c r="T1102" s="460"/>
    </row>
    <row r="1103" spans="13:20" s="378" customFormat="1">
      <c r="M1103" s="1539"/>
      <c r="R1103" s="460"/>
      <c r="S1103" s="460"/>
      <c r="T1103" s="460"/>
    </row>
    <row r="1104" spans="13:20" s="378" customFormat="1">
      <c r="M1104" s="1539"/>
      <c r="R1104" s="460"/>
      <c r="S1104" s="460"/>
      <c r="T1104" s="460"/>
    </row>
    <row r="1105" spans="13:20" s="378" customFormat="1">
      <c r="M1105" s="1539"/>
      <c r="R1105" s="460"/>
      <c r="S1105" s="460"/>
      <c r="T1105" s="460"/>
    </row>
    <row r="1106" spans="13:20" s="378" customFormat="1">
      <c r="M1106" s="1539"/>
      <c r="R1106" s="460"/>
      <c r="S1106" s="460"/>
      <c r="T1106" s="460"/>
    </row>
    <row r="1107" spans="13:20" s="378" customFormat="1">
      <c r="M1107" s="1539"/>
      <c r="R1107" s="460"/>
      <c r="S1107" s="460"/>
      <c r="T1107" s="460"/>
    </row>
    <row r="1108" spans="13:20" s="378" customFormat="1">
      <c r="M1108" s="1539"/>
      <c r="R1108" s="460"/>
      <c r="S1108" s="460"/>
      <c r="T1108" s="460"/>
    </row>
    <row r="1109" spans="13:20" s="378" customFormat="1">
      <c r="M1109" s="1539"/>
      <c r="R1109" s="460"/>
      <c r="S1109" s="460"/>
      <c r="T1109" s="460"/>
    </row>
    <row r="1110" spans="13:20" s="378" customFormat="1">
      <c r="M1110" s="1539"/>
      <c r="R1110" s="460"/>
      <c r="S1110" s="460"/>
      <c r="T1110" s="460"/>
    </row>
    <row r="1111" spans="13:20" s="378" customFormat="1">
      <c r="M1111" s="1539"/>
      <c r="R1111" s="460"/>
      <c r="S1111" s="460"/>
      <c r="T1111" s="460"/>
    </row>
    <row r="1112" spans="13:20" s="378" customFormat="1">
      <c r="M1112" s="1539"/>
      <c r="R1112" s="460"/>
      <c r="S1112" s="460"/>
      <c r="T1112" s="460"/>
    </row>
    <row r="1113" spans="13:20" s="378" customFormat="1">
      <c r="M1113" s="1539"/>
      <c r="R1113" s="460"/>
      <c r="S1113" s="460"/>
      <c r="T1113" s="460"/>
    </row>
    <row r="1114" spans="13:20" s="378" customFormat="1">
      <c r="M1114" s="1539"/>
      <c r="R1114" s="460"/>
      <c r="S1114" s="460"/>
      <c r="T1114" s="460"/>
    </row>
    <row r="1115" spans="13:20" s="378" customFormat="1">
      <c r="M1115" s="1539"/>
      <c r="R1115" s="460"/>
      <c r="S1115" s="460"/>
      <c r="T1115" s="460"/>
    </row>
    <row r="1116" spans="13:20" s="378" customFormat="1">
      <c r="M1116" s="1539"/>
      <c r="R1116" s="460"/>
      <c r="S1116" s="460"/>
      <c r="T1116" s="460"/>
    </row>
    <row r="1117" spans="13:20" s="378" customFormat="1">
      <c r="M1117" s="1539"/>
      <c r="R1117" s="460"/>
      <c r="S1117" s="460"/>
      <c r="T1117" s="460"/>
    </row>
    <row r="1118" spans="13:20" s="378" customFormat="1">
      <c r="M1118" s="1539"/>
      <c r="R1118" s="460"/>
      <c r="S1118" s="460"/>
      <c r="T1118" s="460"/>
    </row>
    <row r="1119" spans="13:20" s="378" customFormat="1">
      <c r="M1119" s="1539"/>
      <c r="R1119" s="460"/>
      <c r="S1119" s="460"/>
      <c r="T1119" s="460"/>
    </row>
    <row r="1120" spans="13:20" s="378" customFormat="1">
      <c r="M1120" s="1539"/>
      <c r="R1120" s="460"/>
      <c r="S1120" s="460"/>
      <c r="T1120" s="460"/>
    </row>
    <row r="1121" spans="13:20" s="378" customFormat="1">
      <c r="M1121" s="1539"/>
      <c r="R1121" s="460"/>
      <c r="S1121" s="460"/>
      <c r="T1121" s="460"/>
    </row>
    <row r="1122" spans="13:20" s="378" customFormat="1">
      <c r="M1122" s="1539"/>
      <c r="R1122" s="460"/>
      <c r="S1122" s="460"/>
      <c r="T1122" s="460"/>
    </row>
    <row r="1123" spans="13:20" s="378" customFormat="1">
      <c r="M1123" s="1539"/>
      <c r="R1123" s="460"/>
      <c r="S1123" s="460"/>
      <c r="T1123" s="460"/>
    </row>
    <row r="1124" spans="13:20" s="378" customFormat="1">
      <c r="M1124" s="1539"/>
      <c r="R1124" s="460"/>
      <c r="S1124" s="460"/>
      <c r="T1124" s="460"/>
    </row>
    <row r="1125" spans="13:20" s="378" customFormat="1">
      <c r="M1125" s="1539"/>
      <c r="R1125" s="460"/>
      <c r="S1125" s="460"/>
      <c r="T1125" s="460"/>
    </row>
    <row r="1126" spans="13:20" s="378" customFormat="1">
      <c r="M1126" s="1539"/>
      <c r="R1126" s="460"/>
      <c r="S1126" s="460"/>
      <c r="T1126" s="460"/>
    </row>
    <row r="1127" spans="13:20" s="378" customFormat="1">
      <c r="M1127" s="1539"/>
      <c r="R1127" s="460"/>
      <c r="S1127" s="460"/>
      <c r="T1127" s="460"/>
    </row>
    <row r="1128" spans="13:20" s="378" customFormat="1">
      <c r="M1128" s="1539"/>
      <c r="R1128" s="460"/>
      <c r="S1128" s="460"/>
      <c r="T1128" s="460"/>
    </row>
    <row r="1129" spans="13:20" s="378" customFormat="1">
      <c r="M1129" s="1539"/>
      <c r="R1129" s="460"/>
      <c r="S1129" s="460"/>
      <c r="T1129" s="460"/>
    </row>
    <row r="1130" spans="13:20" s="378" customFormat="1">
      <c r="M1130" s="1539"/>
      <c r="R1130" s="460"/>
      <c r="S1130" s="460"/>
      <c r="T1130" s="460"/>
    </row>
    <row r="1131" spans="13:20" s="378" customFormat="1">
      <c r="M1131" s="1539"/>
      <c r="R1131" s="460"/>
      <c r="S1131" s="460"/>
      <c r="T1131" s="460"/>
    </row>
    <row r="1132" spans="13:20" s="378" customFormat="1">
      <c r="M1132" s="1539"/>
      <c r="R1132" s="460"/>
      <c r="S1132" s="460"/>
      <c r="T1132" s="460"/>
    </row>
    <row r="1133" spans="13:20" s="378" customFormat="1">
      <c r="M1133" s="1539"/>
      <c r="R1133" s="460"/>
      <c r="S1133" s="460"/>
      <c r="T1133" s="460"/>
    </row>
    <row r="1134" spans="13:20" s="378" customFormat="1">
      <c r="M1134" s="1539"/>
      <c r="R1134" s="460"/>
      <c r="S1134" s="460"/>
      <c r="T1134" s="460"/>
    </row>
    <row r="1135" spans="13:20" s="378" customFormat="1">
      <c r="M1135" s="1539"/>
      <c r="R1135" s="460"/>
      <c r="S1135" s="460"/>
      <c r="T1135" s="460"/>
    </row>
    <row r="1136" spans="13:20" s="378" customFormat="1">
      <c r="M1136" s="1539"/>
      <c r="R1136" s="460"/>
      <c r="S1136" s="460"/>
      <c r="T1136" s="460"/>
    </row>
    <row r="1137" spans="13:20" s="378" customFormat="1">
      <c r="M1137" s="1539"/>
      <c r="R1137" s="460"/>
      <c r="S1137" s="460"/>
      <c r="T1137" s="460"/>
    </row>
    <row r="1138" spans="13:20" s="378" customFormat="1">
      <c r="M1138" s="1539"/>
      <c r="R1138" s="460"/>
      <c r="S1138" s="460"/>
      <c r="T1138" s="460"/>
    </row>
    <row r="1139" spans="13:20" s="378" customFormat="1">
      <c r="M1139" s="1539"/>
      <c r="R1139" s="460"/>
      <c r="S1139" s="460"/>
      <c r="T1139" s="460"/>
    </row>
  </sheetData>
  <mergeCells count="298">
    <mergeCell ref="A8:M8"/>
    <mergeCell ref="F12:F13"/>
    <mergeCell ref="G12:G13"/>
    <mergeCell ref="A2:U2"/>
    <mergeCell ref="N15:N18"/>
    <mergeCell ref="O15:O18"/>
    <mergeCell ref="R15:R18"/>
    <mergeCell ref="S15:S18"/>
    <mergeCell ref="T15:T18"/>
    <mergeCell ref="U15:U20"/>
    <mergeCell ref="L12:L13"/>
    <mergeCell ref="K12:K13"/>
    <mergeCell ref="C19:C20"/>
    <mergeCell ref="B3:U3"/>
    <mergeCell ref="B4:U4"/>
    <mergeCell ref="B5:U5"/>
    <mergeCell ref="B6:T6"/>
    <mergeCell ref="B7:T7"/>
    <mergeCell ref="A9:T9"/>
    <mergeCell ref="C12:C13"/>
    <mergeCell ref="C15:C18"/>
    <mergeCell ref="I12:I13"/>
    <mergeCell ref="J12:J13"/>
    <mergeCell ref="P12:Q12"/>
    <mergeCell ref="N21:N22"/>
    <mergeCell ref="O21:O22"/>
    <mergeCell ref="R21:R22"/>
    <mergeCell ref="L15:L20"/>
    <mergeCell ref="L21:L24"/>
    <mergeCell ref="S23:S24"/>
    <mergeCell ref="T23:T24"/>
    <mergeCell ref="N23:N24"/>
    <mergeCell ref="O23:O24"/>
    <mergeCell ref="R23:R24"/>
    <mergeCell ref="S19:S20"/>
    <mergeCell ref="S21:S22"/>
    <mergeCell ref="T21:T22"/>
    <mergeCell ref="P15:P18"/>
    <mergeCell ref="Q15:Q18"/>
    <mergeCell ref="P19:P20"/>
    <mergeCell ref="Q19:Q20"/>
    <mergeCell ref="P21:P22"/>
    <mergeCell ref="Q21:Q22"/>
    <mergeCell ref="P23:P24"/>
    <mergeCell ref="Q23:Q24"/>
    <mergeCell ref="U21:U24"/>
    <mergeCell ref="B12:B13"/>
    <mergeCell ref="B19:B20"/>
    <mergeCell ref="A21:A22"/>
    <mergeCell ref="B21:B22"/>
    <mergeCell ref="C21:C22"/>
    <mergeCell ref="U29:U30"/>
    <mergeCell ref="U31:U34"/>
    <mergeCell ref="U35:U37"/>
    <mergeCell ref="D12:D13"/>
    <mergeCell ref="E12:E13"/>
    <mergeCell ref="H12:H13"/>
    <mergeCell ref="M15:M18"/>
    <mergeCell ref="R12:T12"/>
    <mergeCell ref="U12:U13"/>
    <mergeCell ref="M12:M13"/>
    <mergeCell ref="N12:N13"/>
    <mergeCell ref="O12:O13"/>
    <mergeCell ref="T19:T20"/>
    <mergeCell ref="M21:M22"/>
    <mergeCell ref="M19:M20"/>
    <mergeCell ref="N19:N20"/>
    <mergeCell ref="O19:O20"/>
    <mergeCell ref="R19:R20"/>
    <mergeCell ref="U25:U28"/>
    <mergeCell ref="U40:U42"/>
    <mergeCell ref="U43:U46"/>
    <mergeCell ref="M82:AA82"/>
    <mergeCell ref="AA83:AA84"/>
    <mergeCell ref="T29:T30"/>
    <mergeCell ref="N29:N30"/>
    <mergeCell ref="O29:O30"/>
    <mergeCell ref="R29:R30"/>
    <mergeCell ref="N60:N62"/>
    <mergeCell ref="T64:T65"/>
    <mergeCell ref="N64:N65"/>
    <mergeCell ref="O64:O65"/>
    <mergeCell ref="T40:T42"/>
    <mergeCell ref="R40:R42"/>
    <mergeCell ref="S40:S42"/>
    <mergeCell ref="R43:R46"/>
    <mergeCell ref="M64:M65"/>
    <mergeCell ref="T43:T46"/>
    <mergeCell ref="P31:P34"/>
    <mergeCell ref="Q31:Q34"/>
    <mergeCell ref="P35:P37"/>
    <mergeCell ref="Q35:Q37"/>
    <mergeCell ref="S38:S39"/>
    <mergeCell ref="A94:D94"/>
    <mergeCell ref="A95:D95"/>
    <mergeCell ref="A97:D97"/>
    <mergeCell ref="U47:U49"/>
    <mergeCell ref="U64:U65"/>
    <mergeCell ref="U83:U84"/>
    <mergeCell ref="U86:U87"/>
    <mergeCell ref="U57:U59"/>
    <mergeCell ref="U54:U56"/>
    <mergeCell ref="U60:U62"/>
    <mergeCell ref="A96:D96"/>
    <mergeCell ref="B54:B56"/>
    <mergeCell ref="A64:A65"/>
    <mergeCell ref="B64:B65"/>
    <mergeCell ref="U90:U92"/>
    <mergeCell ref="T90:T92"/>
    <mergeCell ref="C90:C92"/>
    <mergeCell ref="A93:D93"/>
    <mergeCell ref="S90:S92"/>
    <mergeCell ref="M90:M92"/>
    <mergeCell ref="N90:N92"/>
    <mergeCell ref="O90:O92"/>
    <mergeCell ref="R90:R92"/>
    <mergeCell ref="P90:P92"/>
    <mergeCell ref="E107:K107"/>
    <mergeCell ref="L25:L28"/>
    <mergeCell ref="L29:L30"/>
    <mergeCell ref="L31:L34"/>
    <mergeCell ref="L35:L37"/>
    <mergeCell ref="L40:L42"/>
    <mergeCell ref="L43:L46"/>
    <mergeCell ref="L47:L49"/>
    <mergeCell ref="L54:L56"/>
    <mergeCell ref="L57:L59"/>
    <mergeCell ref="L60:L62"/>
    <mergeCell ref="L64:L65"/>
    <mergeCell ref="L83:L84"/>
    <mergeCell ref="L86:L87"/>
    <mergeCell ref="L90:L92"/>
    <mergeCell ref="Q90:Q92"/>
    <mergeCell ref="C64:C65"/>
    <mergeCell ref="T54:T56"/>
    <mergeCell ref="T57:T59"/>
    <mergeCell ref="R64:R65"/>
    <mergeCell ref="S64:S65"/>
    <mergeCell ref="T47:T49"/>
    <mergeCell ref="M86:M87"/>
    <mergeCell ref="N86:N87"/>
    <mergeCell ref="S83:S84"/>
    <mergeCell ref="T83:T84"/>
    <mergeCell ref="M83:M84"/>
    <mergeCell ref="N83:N84"/>
    <mergeCell ref="O83:O84"/>
    <mergeCell ref="R83:R84"/>
    <mergeCell ref="P47:P49"/>
    <mergeCell ref="Q47:Q49"/>
    <mergeCell ref="P54:P56"/>
    <mergeCell ref="Q54:Q56"/>
    <mergeCell ref="S47:S49"/>
    <mergeCell ref="C54:C56"/>
    <mergeCell ref="M54:M56"/>
    <mergeCell ref="A90:A92"/>
    <mergeCell ref="B90:B92"/>
    <mergeCell ref="A43:A46"/>
    <mergeCell ref="S57:S59"/>
    <mergeCell ref="N54:N56"/>
    <mergeCell ref="C47:C49"/>
    <mergeCell ref="A47:A49"/>
    <mergeCell ref="B47:B49"/>
    <mergeCell ref="O54:O56"/>
    <mergeCell ref="R54:R56"/>
    <mergeCell ref="S54:S56"/>
    <mergeCell ref="A54:A56"/>
    <mergeCell ref="B50:B51"/>
    <mergeCell ref="A52:A53"/>
    <mergeCell ref="B52:B53"/>
    <mergeCell ref="P86:P87"/>
    <mergeCell ref="Q86:Q87"/>
    <mergeCell ref="P83:P84"/>
    <mergeCell ref="Q83:Q84"/>
    <mergeCell ref="M85:AA85"/>
    <mergeCell ref="AA86:AA87"/>
    <mergeCell ref="T86:T87"/>
    <mergeCell ref="O86:O87"/>
    <mergeCell ref="R86:R87"/>
    <mergeCell ref="A1:H1"/>
    <mergeCell ref="I1:M1"/>
    <mergeCell ref="A60:A62"/>
    <mergeCell ref="B60:B62"/>
    <mergeCell ref="C60:C62"/>
    <mergeCell ref="M60:M62"/>
    <mergeCell ref="M47:M49"/>
    <mergeCell ref="B57:B59"/>
    <mergeCell ref="C57:C59"/>
    <mergeCell ref="M57:M59"/>
    <mergeCell ref="A50:A51"/>
    <mergeCell ref="M38:M39"/>
    <mergeCell ref="A31:A34"/>
    <mergeCell ref="A29:A30"/>
    <mergeCell ref="A25:A28"/>
    <mergeCell ref="A19:A20"/>
    <mergeCell ref="A15:A18"/>
    <mergeCell ref="B15:B18"/>
    <mergeCell ref="A11:L11"/>
    <mergeCell ref="A57:A59"/>
    <mergeCell ref="B43:B46"/>
    <mergeCell ref="C43:C46"/>
    <mergeCell ref="M43:M46"/>
    <mergeCell ref="C40:C42"/>
    <mergeCell ref="A23:A24"/>
    <mergeCell ref="N57:N59"/>
    <mergeCell ref="O57:O59"/>
    <mergeCell ref="R57:R59"/>
    <mergeCell ref="N38:N39"/>
    <mergeCell ref="O38:O39"/>
    <mergeCell ref="R38:R39"/>
    <mergeCell ref="P57:P59"/>
    <mergeCell ref="Q57:Q59"/>
    <mergeCell ref="N47:N49"/>
    <mergeCell ref="N43:N46"/>
    <mergeCell ref="M40:M42"/>
    <mergeCell ref="N40:N42"/>
    <mergeCell ref="O40:O42"/>
    <mergeCell ref="A40:A42"/>
    <mergeCell ref="B40:B42"/>
    <mergeCell ref="O43:O46"/>
    <mergeCell ref="C25:C28"/>
    <mergeCell ref="M25:M28"/>
    <mergeCell ref="B25:B28"/>
    <mergeCell ref="P40:P42"/>
    <mergeCell ref="Q40:Q42"/>
    <mergeCell ref="P43:P46"/>
    <mergeCell ref="Q43:Q46"/>
    <mergeCell ref="S43:S46"/>
    <mergeCell ref="A98:D98"/>
    <mergeCell ref="A99:D99"/>
    <mergeCell ref="A100:D100"/>
    <mergeCell ref="A102:D102"/>
    <mergeCell ref="A103:D103"/>
    <mergeCell ref="A12:A13"/>
    <mergeCell ref="B35:B37"/>
    <mergeCell ref="C35:C37"/>
    <mergeCell ref="A35:A37"/>
    <mergeCell ref="B29:B30"/>
    <mergeCell ref="C29:C30"/>
    <mergeCell ref="B31:B34"/>
    <mergeCell ref="C31:C34"/>
    <mergeCell ref="B23:B24"/>
    <mergeCell ref="C23:C24"/>
    <mergeCell ref="A38:A39"/>
    <mergeCell ref="B38:B39"/>
    <mergeCell ref="C38:C39"/>
    <mergeCell ref="B86:B87"/>
    <mergeCell ref="C86:C87"/>
    <mergeCell ref="B83:B84"/>
    <mergeCell ref="A86:A87"/>
    <mergeCell ref="C83:C84"/>
    <mergeCell ref="A83:A84"/>
    <mergeCell ref="AA12:AA13"/>
    <mergeCell ref="M14:AA14"/>
    <mergeCell ref="AA15:AA18"/>
    <mergeCell ref="AA19:AA20"/>
    <mergeCell ref="AA21:AA22"/>
    <mergeCell ref="AA23:AA24"/>
    <mergeCell ref="AA25:AA28"/>
    <mergeCell ref="AA29:AA30"/>
    <mergeCell ref="AA31:AA34"/>
    <mergeCell ref="M29:M30"/>
    <mergeCell ref="N25:N28"/>
    <mergeCell ref="O25:O28"/>
    <mergeCell ref="R25:R28"/>
    <mergeCell ref="S25:S28"/>
    <mergeCell ref="T25:T28"/>
    <mergeCell ref="N31:N34"/>
    <mergeCell ref="M31:M34"/>
    <mergeCell ref="S29:S30"/>
    <mergeCell ref="M23:M24"/>
    <mergeCell ref="P25:P28"/>
    <mergeCell ref="Q25:Q28"/>
    <mergeCell ref="P29:P30"/>
    <mergeCell ref="Q29:Q30"/>
    <mergeCell ref="O31:O34"/>
    <mergeCell ref="M89:AA89"/>
    <mergeCell ref="AA90:AA92"/>
    <mergeCell ref="M93:AA93"/>
    <mergeCell ref="AA35:AA37"/>
    <mergeCell ref="AA40:AA42"/>
    <mergeCell ref="AA43:AA46"/>
    <mergeCell ref="AA47:AA49"/>
    <mergeCell ref="AA55:AA56"/>
    <mergeCell ref="AA57:AA59"/>
    <mergeCell ref="M63:AA63"/>
    <mergeCell ref="P64:P65"/>
    <mergeCell ref="Q64:Q65"/>
    <mergeCell ref="AA64:AA65"/>
    <mergeCell ref="T38:T39"/>
    <mergeCell ref="T35:T37"/>
    <mergeCell ref="M35:M37"/>
    <mergeCell ref="S35:S37"/>
    <mergeCell ref="N35:N37"/>
    <mergeCell ref="O35:O37"/>
    <mergeCell ref="R35:R37"/>
    <mergeCell ref="S86:S87"/>
    <mergeCell ref="O47:O49"/>
    <mergeCell ref="R47:R49"/>
  </mergeCells>
  <conditionalFormatting sqref="E12:H12">
    <cfRule type="dataBar" priority="1">
      <dataBar>
        <cfvo type="min"/>
        <cfvo type="max"/>
        <color rgb="FF638EC6"/>
      </dataBar>
      <extLst>
        <ext xmlns:x14="http://schemas.microsoft.com/office/spreadsheetml/2009/9/main" uri="{B025F937-C7B1-47D3-B67F-A62EFF666E3E}">
          <x14:id>{B1EB1C80-398E-4897-A419-BBA7DEC00D74}</x14:id>
        </ext>
      </extLst>
    </cfRule>
  </conditionalFormatting>
  <conditionalFormatting sqref="I13:K13 I12:M12">
    <cfRule type="dataBar" priority="30">
      <dataBar>
        <cfvo type="min"/>
        <cfvo type="max"/>
        <color rgb="FF638EC6"/>
      </dataBar>
      <extLst>
        <ext xmlns:x14="http://schemas.microsoft.com/office/spreadsheetml/2009/9/main" uri="{B025F937-C7B1-47D3-B67F-A62EFF666E3E}">
          <x14:id>{E5A32450-3EF7-4A95-BF8A-8AC7E1B58B86}</x14:id>
        </ext>
      </extLst>
    </cfRule>
  </conditionalFormatting>
  <pageMargins left="0.7" right="0.7" top="0.75" bottom="0.75" header="0.3" footer="0.3"/>
  <pageSetup paperSize="8" scale="64" fitToHeight="0" orientation="landscape" r:id="rId1"/>
  <extLst>
    <ext xmlns:x14="http://schemas.microsoft.com/office/spreadsheetml/2009/9/main" uri="{78C0D931-6437-407d-A8EE-F0AAD7539E65}">
      <x14:conditionalFormattings>
        <x14:conditionalFormatting xmlns:xm="http://schemas.microsoft.com/office/excel/2006/main">
          <x14:cfRule type="dataBar" id="{B1EB1C80-398E-4897-A419-BBA7DEC00D74}">
            <x14:dataBar minLength="0" maxLength="100" border="1" negativeBarBorderColorSameAsPositive="0">
              <x14:cfvo type="autoMin"/>
              <x14:cfvo type="autoMax"/>
              <x14:borderColor rgb="FF638EC6"/>
              <x14:negativeFillColor rgb="FFFF0000"/>
              <x14:negativeBorderColor rgb="FFFF0000"/>
              <x14:axisColor rgb="FF000000"/>
            </x14:dataBar>
          </x14:cfRule>
          <xm:sqref>E12:H12</xm:sqref>
        </x14:conditionalFormatting>
        <x14:conditionalFormatting xmlns:xm="http://schemas.microsoft.com/office/excel/2006/main">
          <x14:cfRule type="dataBar" id="{E5A32450-3EF7-4A95-BF8A-8AC7E1B58B86}">
            <x14:dataBar minLength="0" maxLength="100" border="1" negativeBarBorderColorSameAsPositive="0">
              <x14:cfvo type="autoMin"/>
              <x14:cfvo type="autoMax"/>
              <x14:borderColor rgb="FF638EC6"/>
              <x14:negativeFillColor rgb="FFFF0000"/>
              <x14:negativeBorderColor rgb="FFFF0000"/>
              <x14:axisColor rgb="FF000000"/>
            </x14:dataBar>
          </x14:cfRule>
          <xm:sqref>I13:K13 I12:M12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6EF1A-E9CF-4D17-87A0-4DB135A69904}">
  <sheetPr codeName="Lapas17">
    <pageSetUpPr fitToPage="1"/>
  </sheetPr>
  <dimension ref="A1:AA1217"/>
  <sheetViews>
    <sheetView topLeftCell="B158" zoomScaleNormal="100" workbookViewId="0">
      <selection activeCell="K169" sqref="K169:K170"/>
    </sheetView>
  </sheetViews>
  <sheetFormatPr defaultColWidth="9.15234375" defaultRowHeight="21" customHeight="1"/>
  <cols>
    <col min="1" max="1" width="16.3046875" style="374" customWidth="1"/>
    <col min="2" max="2" width="33.3828125" style="374" customWidth="1"/>
    <col min="3" max="3" width="4.69140625" style="374" customWidth="1"/>
    <col min="4" max="4" width="8" style="374" customWidth="1"/>
    <col min="5" max="5" width="13.53515625" style="375" customWidth="1"/>
    <col min="6" max="6" width="13.3828125" style="375" customWidth="1"/>
    <col min="7" max="7" width="12.84375" style="375" customWidth="1"/>
    <col min="8" max="8" width="13.3046875" style="375" customWidth="1"/>
    <col min="9" max="9" width="16.3046875" style="374" hidden="1" customWidth="1"/>
    <col min="10" max="10" width="12.3046875" style="374" customWidth="1"/>
    <col min="11" max="11" width="72.84375" style="1489" customWidth="1"/>
    <col min="12" max="12" width="12.84375" style="374" customWidth="1"/>
    <col min="13" max="13" width="30.53515625" style="374" customWidth="1"/>
    <col min="14" max="14" width="22.15234375" style="374" customWidth="1"/>
    <col min="15" max="15" width="21.69140625" style="374" customWidth="1"/>
    <col min="16" max="18" width="6.3046875" style="462" hidden="1" customWidth="1"/>
    <col min="19" max="19" width="13.15234375" style="374" hidden="1" customWidth="1"/>
    <col min="20" max="20" width="21.15234375" style="374" hidden="1" customWidth="1"/>
    <col min="21" max="21" width="23.15234375" style="374" hidden="1" customWidth="1"/>
    <col min="22" max="22" width="8.84375" style="374" hidden="1" customWidth="1"/>
    <col min="23" max="23" width="23.15234375" style="374" hidden="1" customWidth="1"/>
    <col min="24" max="24" width="19.53515625" style="374" customWidth="1"/>
    <col min="25" max="16384" width="9.15234375" style="374"/>
  </cols>
  <sheetData>
    <row r="1" spans="1:24" ht="21" customHeight="1">
      <c r="A1" s="1901" t="s">
        <v>2139</v>
      </c>
      <c r="B1" s="1901"/>
      <c r="C1" s="1901"/>
      <c r="D1" s="1901"/>
      <c r="E1" s="1901"/>
      <c r="F1" s="1901"/>
      <c r="G1" s="1901"/>
      <c r="H1" s="1901"/>
      <c r="I1" s="1901"/>
      <c r="J1" s="1901"/>
      <c r="K1" s="1502"/>
      <c r="P1" s="1901"/>
      <c r="Q1" s="1901"/>
      <c r="R1" s="1901"/>
      <c r="S1" s="1901"/>
      <c r="T1" s="1901"/>
    </row>
    <row r="2" spans="1:24" ht="22.5" customHeight="1">
      <c r="A2" s="1955" t="s">
        <v>2644</v>
      </c>
      <c r="B2" s="1953"/>
      <c r="C2" s="1953"/>
      <c r="D2" s="1953"/>
      <c r="E2" s="1953"/>
      <c r="F2" s="1953"/>
      <c r="G2" s="1953"/>
      <c r="H2" s="1953"/>
      <c r="I2" s="1953"/>
      <c r="J2" s="1953"/>
      <c r="K2" s="1953"/>
      <c r="L2" s="1953"/>
      <c r="M2" s="1953"/>
      <c r="N2" s="1953"/>
      <c r="O2" s="1953"/>
      <c r="P2" s="1953"/>
      <c r="Q2" s="1953"/>
      <c r="R2" s="1953"/>
      <c r="S2" s="1953"/>
      <c r="T2" s="1953"/>
    </row>
    <row r="3" spans="1:24" ht="12.65" customHeight="1">
      <c r="A3" s="374" t="str">
        <f>A16</f>
        <v>09.01.01. (T)</v>
      </c>
      <c r="B3" s="374" t="str">
        <f>B16</f>
        <v>Sudaryti kuo palankesnes sąlygas pradėti ir plėtoti verslą, skatinti jaunimo verslumą bei didinti gyventojų užimtumą</v>
      </c>
      <c r="E3" s="374"/>
      <c r="F3" s="374"/>
      <c r="G3" s="374"/>
      <c r="H3" s="374"/>
      <c r="J3" s="607"/>
    </row>
    <row r="4" spans="1:24" ht="11.5" customHeight="1">
      <c r="A4" s="374" t="str">
        <f>A75</f>
        <v>09.02.01.(T)</v>
      </c>
      <c r="B4" s="374" t="str">
        <f>B75</f>
        <v>Pritraukti ES ir kitų fondų lėšas miesto plėtros projektams įgyvendinti</v>
      </c>
      <c r="E4" s="374"/>
      <c r="F4" s="374"/>
      <c r="G4" s="374"/>
      <c r="H4" s="374"/>
      <c r="J4" s="607"/>
    </row>
    <row r="5" spans="1:24" ht="11.5" customHeight="1">
      <c r="A5" s="374" t="str">
        <f>A82</f>
        <v>09.02.02. (T)</v>
      </c>
      <c r="B5" s="374" t="str">
        <f>B82</f>
        <v>Kurti aplinką, kuri sąlygotų investicijų 
pritraukimą</v>
      </c>
      <c r="E5" s="374"/>
      <c r="F5" s="374"/>
      <c r="G5" s="374"/>
      <c r="H5" s="374"/>
      <c r="J5" s="607"/>
    </row>
    <row r="6" spans="1:24" ht="12.65" customHeight="1">
      <c r="A6" s="374" t="str">
        <f>A93</f>
        <v>09.02.03. (T)</v>
      </c>
      <c r="B6" s="374" t="str">
        <f>B93</f>
        <v>Savivaldybės ekonominės plėtros gairių specializacijų vystymas</v>
      </c>
      <c r="E6" s="374"/>
      <c r="F6" s="374"/>
      <c r="G6" s="374"/>
      <c r="H6" s="374"/>
      <c r="J6" s="607"/>
    </row>
    <row r="7" spans="1:24" ht="12" customHeight="1">
      <c r="A7" s="374" t="str">
        <f>A104</f>
        <v>09.03.01. (PP,TP)</v>
      </c>
      <c r="B7" s="374" t="str">
        <f>B104</f>
        <v>Plėsti turizmo, rekreacijos, 
poilsio ir paslaugų infrastruktūrą</v>
      </c>
      <c r="E7" s="374"/>
      <c r="F7" s="374"/>
      <c r="G7" s="374"/>
      <c r="H7" s="374"/>
      <c r="J7" s="607"/>
    </row>
    <row r="8" spans="1:24" ht="12.65" customHeight="1">
      <c r="A8" s="374" t="str">
        <f>A148</f>
        <v>09.03.02. (T)</v>
      </c>
      <c r="B8" s="374" t="str">
        <f>B148</f>
        <v>Užtikrinti turizmo informacijos sklaidą, skatinti turizmo plėtrą savivaldybėje</v>
      </c>
      <c r="E8" s="374"/>
      <c r="F8" s="374"/>
      <c r="G8" s="374"/>
      <c r="H8" s="374"/>
      <c r="J8" s="607"/>
    </row>
    <row r="9" spans="1:24" ht="9" customHeight="1">
      <c r="A9" s="374" t="str">
        <f>A168</f>
        <v>09.04.01. (P)</v>
      </c>
      <c r="B9" s="374" t="str">
        <f>B168</f>
        <v>Įgyvendinti funkcinės
 zonos Visagino, Ignalinos ir Zarasų rajonų savivaldybių teritorijose strategiją</v>
      </c>
      <c r="E9" s="374"/>
      <c r="F9" s="374"/>
      <c r="G9" s="374"/>
      <c r="H9" s="374"/>
      <c r="J9" s="607"/>
    </row>
    <row r="10" spans="1:24" ht="7.95" customHeight="1">
      <c r="E10" s="374"/>
      <c r="F10" s="374"/>
      <c r="G10" s="374"/>
      <c r="H10" s="374"/>
    </row>
    <row r="11" spans="1:24" ht="18" customHeight="1">
      <c r="A11" s="1867" t="s">
        <v>3012</v>
      </c>
      <c r="B11" s="1867"/>
      <c r="C11" s="1867"/>
      <c r="D11" s="1867"/>
      <c r="E11" s="1867"/>
      <c r="F11" s="448"/>
      <c r="G11" s="448"/>
      <c r="H11" s="448"/>
      <c r="I11" s="373"/>
      <c r="J11" s="449"/>
      <c r="P11" s="452"/>
      <c r="Q11" s="452"/>
      <c r="R11" s="452"/>
      <c r="S11" s="373"/>
      <c r="T11" s="373"/>
    </row>
    <row r="12" spans="1:24" ht="49.95" customHeight="1">
      <c r="A12" s="1867" t="s">
        <v>2739</v>
      </c>
      <c r="B12" s="1867"/>
      <c r="C12" s="1867"/>
      <c r="D12" s="1867"/>
      <c r="E12" s="1867"/>
      <c r="F12" s="1867"/>
      <c r="G12" s="1867"/>
      <c r="H12" s="1867"/>
      <c r="I12" s="1867"/>
      <c r="J12" s="1867"/>
      <c r="K12" s="1867"/>
      <c r="L12" s="1867"/>
      <c r="M12" s="1867"/>
      <c r="N12" s="1867"/>
      <c r="O12" s="1867"/>
      <c r="P12" s="1867"/>
      <c r="Q12" s="1867"/>
      <c r="R12" s="1867"/>
      <c r="S12" s="1867"/>
      <c r="T12" s="1867"/>
    </row>
    <row r="13" spans="1:24" ht="21" customHeight="1">
      <c r="A13" s="374" t="s">
        <v>3702</v>
      </c>
      <c r="B13" s="607"/>
      <c r="C13" s="607"/>
      <c r="D13" s="607"/>
      <c r="E13" s="607"/>
      <c r="F13" s="607"/>
      <c r="G13" s="607"/>
      <c r="H13" s="607"/>
      <c r="I13" s="607"/>
    </row>
    <row r="14" spans="1:24" s="489" customFormat="1" ht="42.65" customHeight="1">
      <c r="A14" s="1681" t="s">
        <v>994</v>
      </c>
      <c r="B14" s="1681" t="s">
        <v>1933</v>
      </c>
      <c r="C14" s="1907" t="s">
        <v>1318</v>
      </c>
      <c r="D14" s="1909" t="s">
        <v>1319</v>
      </c>
      <c r="E14" s="1847" t="s">
        <v>2857</v>
      </c>
      <c r="F14" s="1784" t="s">
        <v>2874</v>
      </c>
      <c r="G14" s="1784" t="s">
        <v>2858</v>
      </c>
      <c r="H14" s="1784" t="s">
        <v>2859</v>
      </c>
      <c r="I14" s="1784" t="s">
        <v>2080</v>
      </c>
      <c r="J14" s="1784" t="s">
        <v>1969</v>
      </c>
      <c r="K14" s="1684" t="s">
        <v>2750</v>
      </c>
      <c r="L14" s="1681" t="s">
        <v>2861</v>
      </c>
      <c r="M14" s="1681" t="s">
        <v>2864</v>
      </c>
      <c r="N14" s="1683" t="s">
        <v>2865</v>
      </c>
      <c r="O14" s="1684"/>
      <c r="P14" s="2162" t="s">
        <v>995</v>
      </c>
      <c r="Q14" s="2163"/>
      <c r="R14" s="2164"/>
      <c r="S14" s="1683" t="s">
        <v>996</v>
      </c>
      <c r="T14" s="1684"/>
      <c r="X14" s="1905" t="s">
        <v>3733</v>
      </c>
    </row>
    <row r="15" spans="1:24" s="489" customFormat="1" ht="50.25" customHeight="1">
      <c r="A15" s="1682"/>
      <c r="B15" s="1682"/>
      <c r="C15" s="1908"/>
      <c r="D15" s="1910"/>
      <c r="E15" s="1847"/>
      <c r="F15" s="1785"/>
      <c r="G15" s="1785"/>
      <c r="H15" s="1785"/>
      <c r="I15" s="1785"/>
      <c r="J15" s="1785"/>
      <c r="K15" s="2082"/>
      <c r="L15" s="1952"/>
      <c r="M15" s="1952"/>
      <c r="N15" s="454" t="s">
        <v>2862</v>
      </c>
      <c r="O15" s="454" t="s">
        <v>2863</v>
      </c>
      <c r="P15" s="453">
        <v>2024</v>
      </c>
      <c r="Q15" s="453">
        <v>2025</v>
      </c>
      <c r="R15" s="453">
        <v>2026</v>
      </c>
      <c r="S15" s="2167"/>
      <c r="T15" s="2082"/>
      <c r="X15" s="2060"/>
    </row>
    <row r="16" spans="1:24" ht="59.25" customHeight="1">
      <c r="A16" s="501" t="s">
        <v>2103</v>
      </c>
      <c r="B16" s="496" t="s">
        <v>2394</v>
      </c>
      <c r="C16" s="501"/>
      <c r="D16" s="501"/>
      <c r="E16" s="502">
        <f>SUM(E20,E40,E44,E48,E50,E52,E63,E66,E69,E74)</f>
        <v>361.58799999999997</v>
      </c>
      <c r="F16" s="502">
        <f>SUM(F20,F40,F44,F48,F50,F52,F63,F66,F69,F74)</f>
        <v>345.99299999999999</v>
      </c>
      <c r="G16" s="502">
        <f>SUM(G20,G40,G44,G48,G50,G52,G63,G66,G69,G74)</f>
        <v>341.05500000000001</v>
      </c>
      <c r="H16" s="539">
        <f>G16/F16</f>
        <v>0.98572803496024486</v>
      </c>
      <c r="I16" s="502">
        <f>SUM(I20,I40,I44,I48,I50,I52,I63,I66,I69,I74)</f>
        <v>270.06</v>
      </c>
      <c r="J16" s="501" t="s">
        <v>2395</v>
      </c>
      <c r="K16" s="2000"/>
      <c r="L16" s="2000"/>
      <c r="M16" s="2000"/>
      <c r="N16" s="2000"/>
      <c r="O16" s="2000"/>
      <c r="P16" s="2000"/>
      <c r="Q16" s="2000"/>
      <c r="R16" s="2000"/>
      <c r="S16" s="2000"/>
      <c r="T16" s="2000"/>
      <c r="U16" s="2000"/>
      <c r="V16" s="2000"/>
      <c r="W16" s="2000"/>
      <c r="X16" s="2000"/>
    </row>
    <row r="17" spans="1:24" s="1396" customFormat="1" ht="39.65" hidden="1" customHeight="1">
      <c r="A17" s="1767" t="s">
        <v>2987</v>
      </c>
      <c r="B17" s="2168" t="s">
        <v>2882</v>
      </c>
      <c r="C17" s="2156">
        <v>188711925</v>
      </c>
      <c r="D17" s="1363" t="s">
        <v>341</v>
      </c>
      <c r="E17" s="1364">
        <f>E21+E25+E29+E33</f>
        <v>0</v>
      </c>
      <c r="F17" s="1365"/>
      <c r="G17" s="1365"/>
      <c r="H17" s="1365"/>
      <c r="I17" s="1364">
        <f t="shared" ref="I17" si="0">I21+I25+I29+I33</f>
        <v>0</v>
      </c>
      <c r="J17" s="2159" t="s">
        <v>2376</v>
      </c>
      <c r="K17" s="2158" t="s">
        <v>3726</v>
      </c>
      <c r="L17" s="2108" t="s">
        <v>253</v>
      </c>
      <c r="M17" s="2108" t="s">
        <v>2986</v>
      </c>
      <c r="N17" s="825"/>
      <c r="O17" s="825"/>
      <c r="P17" s="2108">
        <v>58</v>
      </c>
      <c r="Q17" s="2108">
        <v>59</v>
      </c>
      <c r="R17" s="2108">
        <v>60</v>
      </c>
      <c r="S17" s="2108"/>
      <c r="T17" s="2108"/>
      <c r="U17" s="826"/>
      <c r="V17" s="826"/>
      <c r="W17" s="826"/>
      <c r="X17" s="826"/>
    </row>
    <row r="18" spans="1:24" s="1396" customFormat="1" ht="31.95" hidden="1" customHeight="1">
      <c r="A18" s="1767"/>
      <c r="B18" s="2168"/>
      <c r="C18" s="2156"/>
      <c r="D18" s="1363" t="s">
        <v>587</v>
      </c>
      <c r="E18" s="1364"/>
      <c r="F18" s="1365"/>
      <c r="G18" s="1365"/>
      <c r="H18" s="1365"/>
      <c r="I18" s="1364"/>
      <c r="J18" s="2160"/>
      <c r="K18" s="2158"/>
      <c r="L18" s="2108"/>
      <c r="M18" s="2108"/>
      <c r="N18" s="825"/>
      <c r="O18" s="825"/>
      <c r="P18" s="2108"/>
      <c r="Q18" s="2108"/>
      <c r="R18" s="2108"/>
      <c r="S18" s="2108"/>
      <c r="T18" s="2108"/>
      <c r="U18" s="827" t="s">
        <v>2645</v>
      </c>
      <c r="V18" s="826"/>
      <c r="W18" s="826"/>
      <c r="X18" s="826"/>
    </row>
    <row r="19" spans="1:24" s="1396" customFormat="1" ht="30" customHeight="1">
      <c r="A19" s="1767"/>
      <c r="B19" s="2168"/>
      <c r="C19" s="2156"/>
      <c r="D19" s="1363" t="s">
        <v>668</v>
      </c>
      <c r="E19" s="734">
        <f>E23+E27+E31+E35</f>
        <v>0</v>
      </c>
      <c r="F19" s="734">
        <v>5</v>
      </c>
      <c r="G19" s="734">
        <v>5</v>
      </c>
      <c r="H19" s="803">
        <f>G19/F19</f>
        <v>1</v>
      </c>
      <c r="I19" s="1364">
        <f t="shared" ref="I19" si="1">I23+I27+I31+I35</f>
        <v>0</v>
      </c>
      <c r="J19" s="2160"/>
      <c r="K19" s="2158"/>
      <c r="L19" s="2108"/>
      <c r="M19" s="2108"/>
      <c r="N19" s="1650">
        <v>1</v>
      </c>
      <c r="O19" s="1650">
        <v>0</v>
      </c>
      <c r="P19" s="2108"/>
      <c r="Q19" s="2108"/>
      <c r="R19" s="2108"/>
      <c r="S19" s="2108"/>
      <c r="T19" s="2108"/>
      <c r="U19" s="826"/>
      <c r="V19" s="826"/>
      <c r="W19" s="826"/>
      <c r="X19" s="1650" t="s">
        <v>3557</v>
      </c>
    </row>
    <row r="20" spans="1:24" s="1396" customFormat="1" ht="39" customHeight="1">
      <c r="A20" s="1803"/>
      <c r="B20" s="2169"/>
      <c r="C20" s="2157"/>
      <c r="D20" s="1366" t="s">
        <v>1321</v>
      </c>
      <c r="E20" s="706">
        <f>SUM(E17:E17)</f>
        <v>0</v>
      </c>
      <c r="F20" s="706">
        <f>F19</f>
        <v>5</v>
      </c>
      <c r="G20" s="706">
        <f>G19</f>
        <v>5</v>
      </c>
      <c r="H20" s="707">
        <f>G20/F20</f>
        <v>1</v>
      </c>
      <c r="I20" s="1366">
        <f t="shared" ref="I20" si="2">SUM(I17:I17)</f>
        <v>0</v>
      </c>
      <c r="J20" s="2161"/>
      <c r="K20" s="2158"/>
      <c r="L20" s="2108"/>
      <c r="M20" s="2108"/>
      <c r="N20" s="1650"/>
      <c r="O20" s="1650"/>
      <c r="P20" s="2108"/>
      <c r="Q20" s="2108"/>
      <c r="R20" s="2108"/>
      <c r="S20" s="2108"/>
      <c r="T20" s="2108"/>
      <c r="U20" s="826"/>
      <c r="V20" s="826"/>
      <c r="W20" s="826"/>
      <c r="X20" s="1650"/>
    </row>
    <row r="21" spans="1:24" s="1396" customFormat="1" ht="21" hidden="1" customHeight="1">
      <c r="A21" s="2122" t="s">
        <v>2314</v>
      </c>
      <c r="B21" s="2106" t="s">
        <v>2299</v>
      </c>
      <c r="C21" s="2153">
        <v>188711925</v>
      </c>
      <c r="D21" s="1367" t="s">
        <v>341</v>
      </c>
      <c r="E21" s="1367"/>
      <c r="F21" s="1368"/>
      <c r="G21" s="1368"/>
      <c r="H21" s="1368"/>
      <c r="I21" s="1367"/>
      <c r="J21" s="1367"/>
      <c r="K21" s="2109" t="s">
        <v>2327</v>
      </c>
      <c r="L21" s="2106" t="s">
        <v>2335</v>
      </c>
      <c r="M21" s="2106" t="s">
        <v>2344</v>
      </c>
      <c r="N21" s="650"/>
      <c r="O21" s="650"/>
      <c r="P21" s="2111"/>
      <c r="Q21" s="2106"/>
      <c r="R21" s="2165">
        <v>0.5</v>
      </c>
      <c r="S21" s="2119" t="s">
        <v>2342</v>
      </c>
      <c r="T21" s="2105" t="s">
        <v>2343</v>
      </c>
      <c r="U21" s="831"/>
      <c r="V21" s="831"/>
      <c r="W21" s="831"/>
      <c r="X21" s="826"/>
    </row>
    <row r="22" spans="1:24" s="1396" customFormat="1" ht="21" hidden="1" customHeight="1">
      <c r="A22" s="2122"/>
      <c r="B22" s="2106"/>
      <c r="C22" s="2153"/>
      <c r="D22" s="1367" t="s">
        <v>587</v>
      </c>
      <c r="E22" s="1367"/>
      <c r="F22" s="1368"/>
      <c r="G22" s="1368"/>
      <c r="H22" s="1368"/>
      <c r="I22" s="1367"/>
      <c r="J22" s="1367"/>
      <c r="K22" s="2109"/>
      <c r="L22" s="2106"/>
      <c r="M22" s="2106"/>
      <c r="N22" s="650"/>
      <c r="O22" s="650"/>
      <c r="P22" s="2111"/>
      <c r="Q22" s="2106"/>
      <c r="R22" s="2165"/>
      <c r="S22" s="2120"/>
      <c r="T22" s="2105"/>
      <c r="U22" s="831"/>
      <c r="V22" s="831"/>
      <c r="W22" s="831"/>
      <c r="X22" s="826"/>
    </row>
    <row r="23" spans="1:24" s="1396" customFormat="1" ht="21" hidden="1" customHeight="1">
      <c r="A23" s="2122"/>
      <c r="B23" s="2106"/>
      <c r="C23" s="2153"/>
      <c r="D23" s="1367" t="s">
        <v>668</v>
      </c>
      <c r="E23" s="1367"/>
      <c r="F23" s="1368"/>
      <c r="G23" s="1368"/>
      <c r="H23" s="1368"/>
      <c r="I23" s="1367"/>
      <c r="J23" s="1367"/>
      <c r="K23" s="2109"/>
      <c r="L23" s="2106"/>
      <c r="M23" s="2106"/>
      <c r="N23" s="650"/>
      <c r="O23" s="650"/>
      <c r="P23" s="2111"/>
      <c r="Q23" s="2106"/>
      <c r="R23" s="2165"/>
      <c r="S23" s="2120"/>
      <c r="T23" s="2105"/>
      <c r="U23" s="831"/>
      <c r="V23" s="831"/>
      <c r="W23" s="831"/>
      <c r="X23" s="826"/>
    </row>
    <row r="24" spans="1:24" s="1396" customFormat="1" ht="56.25" hidden="1" customHeight="1">
      <c r="A24" s="2123"/>
      <c r="B24" s="2107"/>
      <c r="C24" s="2154"/>
      <c r="D24" s="1371"/>
      <c r="E24" s="1371">
        <f>SUM(E21:E23)</f>
        <v>0</v>
      </c>
      <c r="F24" s="1372"/>
      <c r="G24" s="1372"/>
      <c r="H24" s="1372"/>
      <c r="I24" s="1371">
        <f t="shared" ref="I24" si="3">SUM(I21:I23)</f>
        <v>0</v>
      </c>
      <c r="J24" s="1371"/>
      <c r="K24" s="2110"/>
      <c r="L24" s="2107"/>
      <c r="M24" s="2107"/>
      <c r="N24" s="1370"/>
      <c r="O24" s="1370"/>
      <c r="P24" s="2112"/>
      <c r="Q24" s="2107"/>
      <c r="R24" s="2166"/>
      <c r="S24" s="2117"/>
      <c r="T24" s="2106"/>
      <c r="U24" s="831"/>
      <c r="V24" s="831"/>
      <c r="W24" s="831"/>
      <c r="X24" s="826"/>
    </row>
    <row r="25" spans="1:24" s="1396" customFormat="1" ht="21" hidden="1" customHeight="1">
      <c r="A25" s="2122" t="s">
        <v>2315</v>
      </c>
      <c r="B25" s="2106" t="s">
        <v>2300</v>
      </c>
      <c r="C25" s="2153">
        <v>188711925</v>
      </c>
      <c r="D25" s="1367" t="s">
        <v>341</v>
      </c>
      <c r="E25" s="1367"/>
      <c r="F25" s="1368"/>
      <c r="G25" s="1368"/>
      <c r="H25" s="1368"/>
      <c r="I25" s="1367"/>
      <c r="J25" s="1367"/>
      <c r="K25" s="2109" t="s">
        <v>2301</v>
      </c>
      <c r="L25" s="2106" t="s">
        <v>2336</v>
      </c>
      <c r="M25" s="2106" t="s">
        <v>2344</v>
      </c>
      <c r="N25" s="650"/>
      <c r="O25" s="650"/>
      <c r="P25" s="2111"/>
      <c r="Q25" s="2106"/>
      <c r="R25" s="2106">
        <v>0.05</v>
      </c>
      <c r="S25" s="1369" t="s">
        <v>2345</v>
      </c>
      <c r="T25" s="2105" t="s">
        <v>2346</v>
      </c>
      <c r="U25" s="831"/>
      <c r="V25" s="831"/>
      <c r="W25" s="831"/>
      <c r="X25" s="826"/>
    </row>
    <row r="26" spans="1:24" s="1396" customFormat="1" ht="21" hidden="1" customHeight="1">
      <c r="A26" s="2122"/>
      <c r="B26" s="2106"/>
      <c r="C26" s="2153"/>
      <c r="D26" s="1367" t="s">
        <v>587</v>
      </c>
      <c r="E26" s="1367"/>
      <c r="F26" s="1368"/>
      <c r="G26" s="1368"/>
      <c r="H26" s="1368"/>
      <c r="I26" s="1367"/>
      <c r="J26" s="1367"/>
      <c r="K26" s="2109"/>
      <c r="L26" s="2106"/>
      <c r="M26" s="2106"/>
      <c r="N26" s="650"/>
      <c r="O26" s="650"/>
      <c r="P26" s="2111"/>
      <c r="Q26" s="2106"/>
      <c r="R26" s="2106"/>
      <c r="S26" s="1369"/>
      <c r="T26" s="2105"/>
      <c r="U26" s="831"/>
      <c r="V26" s="831"/>
      <c r="W26" s="831"/>
      <c r="X26" s="826"/>
    </row>
    <row r="27" spans="1:24" s="1396" customFormat="1" ht="21" hidden="1" customHeight="1">
      <c r="A27" s="2122"/>
      <c r="B27" s="2106"/>
      <c r="C27" s="2153"/>
      <c r="D27" s="1367" t="s">
        <v>668</v>
      </c>
      <c r="E27" s="1367"/>
      <c r="F27" s="1368"/>
      <c r="G27" s="1368"/>
      <c r="H27" s="1368"/>
      <c r="I27" s="1367"/>
      <c r="J27" s="1367"/>
      <c r="K27" s="2109"/>
      <c r="L27" s="2106"/>
      <c r="M27" s="2106"/>
      <c r="N27" s="650"/>
      <c r="O27" s="650"/>
      <c r="P27" s="2111"/>
      <c r="Q27" s="2106"/>
      <c r="R27" s="2106"/>
      <c r="S27" s="1369"/>
      <c r="T27" s="2105"/>
      <c r="U27" s="831"/>
      <c r="V27" s="831"/>
      <c r="W27" s="831"/>
      <c r="X27" s="826"/>
    </row>
    <row r="28" spans="1:24" s="1396" customFormat="1" ht="69.75" hidden="1" customHeight="1">
      <c r="A28" s="2123"/>
      <c r="B28" s="2107"/>
      <c r="C28" s="2154"/>
      <c r="D28" s="1371"/>
      <c r="E28" s="1371">
        <f>SUM(E25:E27)</f>
        <v>0</v>
      </c>
      <c r="F28" s="1372"/>
      <c r="G28" s="1372"/>
      <c r="H28" s="1372"/>
      <c r="I28" s="1371">
        <f t="shared" ref="I28" si="4">SUM(I25:I27)</f>
        <v>0</v>
      </c>
      <c r="J28" s="1371"/>
      <c r="K28" s="2110"/>
      <c r="L28" s="2107"/>
      <c r="M28" s="2107"/>
      <c r="N28" s="1370"/>
      <c r="O28" s="1370"/>
      <c r="P28" s="2112"/>
      <c r="Q28" s="2107"/>
      <c r="R28" s="2107"/>
      <c r="S28" s="1373"/>
      <c r="T28" s="2106"/>
      <c r="U28" s="831"/>
      <c r="V28" s="831"/>
      <c r="W28" s="831"/>
      <c r="X28" s="826"/>
    </row>
    <row r="29" spans="1:24" s="1396" customFormat="1" ht="21" hidden="1" customHeight="1">
      <c r="A29" s="2122" t="s">
        <v>2329</v>
      </c>
      <c r="B29" s="2106" t="s">
        <v>2303</v>
      </c>
      <c r="C29" s="2153">
        <v>188711925</v>
      </c>
      <c r="D29" s="1367" t="s">
        <v>341</v>
      </c>
      <c r="E29" s="1374"/>
      <c r="F29" s="1375"/>
      <c r="G29" s="1375"/>
      <c r="H29" s="1375"/>
      <c r="I29" s="1374"/>
      <c r="J29" s="1374"/>
      <c r="K29" s="2109" t="s">
        <v>2304</v>
      </c>
      <c r="L29" s="2106" t="s">
        <v>2337</v>
      </c>
      <c r="M29" s="2106" t="s">
        <v>2302</v>
      </c>
      <c r="N29" s="650"/>
      <c r="O29" s="650"/>
      <c r="P29" s="2111"/>
      <c r="Q29" s="2106"/>
      <c r="R29" s="2117">
        <v>200</v>
      </c>
      <c r="S29" s="2104" t="s">
        <v>2308</v>
      </c>
      <c r="T29" s="2104" t="s">
        <v>2309</v>
      </c>
      <c r="U29" s="831"/>
      <c r="V29" s="831"/>
      <c r="W29" s="831"/>
      <c r="X29" s="826"/>
    </row>
    <row r="30" spans="1:24" s="1396" customFormat="1" ht="21" hidden="1" customHeight="1">
      <c r="A30" s="2122"/>
      <c r="B30" s="2106"/>
      <c r="C30" s="2153"/>
      <c r="D30" s="1367" t="s">
        <v>587</v>
      </c>
      <c r="E30" s="1374"/>
      <c r="F30" s="1375"/>
      <c r="G30" s="1375"/>
      <c r="H30" s="1375"/>
      <c r="I30" s="1374"/>
      <c r="J30" s="1374"/>
      <c r="K30" s="2109"/>
      <c r="L30" s="2106"/>
      <c r="M30" s="2106"/>
      <c r="N30" s="650"/>
      <c r="O30" s="650"/>
      <c r="P30" s="2111"/>
      <c r="Q30" s="2106"/>
      <c r="R30" s="2117"/>
      <c r="S30" s="2105"/>
      <c r="T30" s="2105"/>
      <c r="U30" s="831"/>
      <c r="V30" s="831"/>
      <c r="W30" s="831"/>
      <c r="X30" s="826"/>
    </row>
    <row r="31" spans="1:24" s="1396" customFormat="1" ht="21" hidden="1" customHeight="1">
      <c r="A31" s="2122"/>
      <c r="B31" s="2106"/>
      <c r="C31" s="2153"/>
      <c r="D31" s="1367" t="s">
        <v>668</v>
      </c>
      <c r="E31" s="1374"/>
      <c r="F31" s="1375"/>
      <c r="G31" s="1375"/>
      <c r="H31" s="1375"/>
      <c r="I31" s="1374"/>
      <c r="J31" s="1374"/>
      <c r="K31" s="2109"/>
      <c r="L31" s="2106"/>
      <c r="M31" s="2106"/>
      <c r="N31" s="650"/>
      <c r="O31" s="650"/>
      <c r="P31" s="2111"/>
      <c r="Q31" s="2106"/>
      <c r="R31" s="2117"/>
      <c r="S31" s="2105"/>
      <c r="T31" s="2105"/>
      <c r="U31" s="831"/>
      <c r="V31" s="831"/>
      <c r="W31" s="831"/>
      <c r="X31" s="826"/>
    </row>
    <row r="32" spans="1:24" s="1396" customFormat="1" ht="87.75" hidden="1" customHeight="1">
      <c r="A32" s="2123"/>
      <c r="B32" s="2107"/>
      <c r="C32" s="2154"/>
      <c r="D32" s="1371"/>
      <c r="E32" s="1371">
        <f>SUM(E29:E31)</f>
        <v>0</v>
      </c>
      <c r="F32" s="1372"/>
      <c r="G32" s="1372"/>
      <c r="H32" s="1372"/>
      <c r="I32" s="1371">
        <f t="shared" ref="I32" si="5">SUM(I29:I31)</f>
        <v>0</v>
      </c>
      <c r="J32" s="1371"/>
      <c r="K32" s="2110"/>
      <c r="L32" s="2107"/>
      <c r="M32" s="2107"/>
      <c r="N32" s="1370"/>
      <c r="O32" s="1370"/>
      <c r="P32" s="2112"/>
      <c r="Q32" s="2107"/>
      <c r="R32" s="2118"/>
      <c r="S32" s="2106"/>
      <c r="T32" s="2106"/>
      <c r="U32" s="831"/>
      <c r="V32" s="831"/>
      <c r="W32" s="831"/>
      <c r="X32" s="826"/>
    </row>
    <row r="33" spans="1:24" s="1396" customFormat="1" ht="21" hidden="1" customHeight="1">
      <c r="A33" s="2122" t="s">
        <v>2330</v>
      </c>
      <c r="B33" s="2106" t="s">
        <v>2305</v>
      </c>
      <c r="C33" s="2153">
        <v>188711925</v>
      </c>
      <c r="D33" s="1367" t="s">
        <v>341</v>
      </c>
      <c r="E33" s="1374"/>
      <c r="F33" s="1375"/>
      <c r="G33" s="1375"/>
      <c r="H33" s="1375"/>
      <c r="I33" s="1374"/>
      <c r="J33" s="1374"/>
      <c r="K33" s="2109" t="s">
        <v>2307</v>
      </c>
      <c r="L33" s="2106" t="s">
        <v>2338</v>
      </c>
      <c r="M33" s="2106" t="s">
        <v>2306</v>
      </c>
      <c r="N33" s="650"/>
      <c r="O33" s="650"/>
      <c r="P33" s="2111"/>
      <c r="Q33" s="2106"/>
      <c r="R33" s="2117">
        <v>1</v>
      </c>
      <c r="S33" s="2104" t="s">
        <v>2308</v>
      </c>
      <c r="T33" s="2104" t="s">
        <v>2309</v>
      </c>
      <c r="U33" s="831"/>
      <c r="V33" s="831"/>
      <c r="W33" s="831"/>
      <c r="X33" s="826"/>
    </row>
    <row r="34" spans="1:24" s="1396" customFormat="1" ht="21" hidden="1" customHeight="1">
      <c r="A34" s="2122"/>
      <c r="B34" s="2106"/>
      <c r="C34" s="2153"/>
      <c r="D34" s="1367" t="s">
        <v>587</v>
      </c>
      <c r="E34" s="1374"/>
      <c r="F34" s="1375"/>
      <c r="G34" s="1375"/>
      <c r="H34" s="1375"/>
      <c r="I34" s="1374"/>
      <c r="J34" s="1374"/>
      <c r="K34" s="2109"/>
      <c r="L34" s="2106"/>
      <c r="M34" s="2106"/>
      <c r="N34" s="650"/>
      <c r="O34" s="650"/>
      <c r="P34" s="2111"/>
      <c r="Q34" s="2106"/>
      <c r="R34" s="2117"/>
      <c r="S34" s="2105"/>
      <c r="T34" s="2105"/>
      <c r="U34" s="831"/>
      <c r="V34" s="831"/>
      <c r="W34" s="831"/>
      <c r="X34" s="826"/>
    </row>
    <row r="35" spans="1:24" s="1396" customFormat="1" ht="21" hidden="1" customHeight="1">
      <c r="A35" s="2122"/>
      <c r="B35" s="2106"/>
      <c r="C35" s="2153"/>
      <c r="D35" s="1367" t="s">
        <v>668</v>
      </c>
      <c r="E35" s="1374"/>
      <c r="F35" s="1375"/>
      <c r="G35" s="1375"/>
      <c r="H35" s="1375"/>
      <c r="I35" s="1374"/>
      <c r="J35" s="1374"/>
      <c r="K35" s="2109"/>
      <c r="L35" s="2106"/>
      <c r="M35" s="2106"/>
      <c r="N35" s="650"/>
      <c r="O35" s="650"/>
      <c r="P35" s="2111"/>
      <c r="Q35" s="2106"/>
      <c r="R35" s="2117"/>
      <c r="S35" s="2105"/>
      <c r="T35" s="2105"/>
      <c r="U35" s="831"/>
      <c r="V35" s="831"/>
      <c r="W35" s="831"/>
      <c r="X35" s="826"/>
    </row>
    <row r="36" spans="1:24" s="1396" customFormat="1" ht="21" hidden="1" customHeight="1">
      <c r="A36" s="2123"/>
      <c r="B36" s="2107"/>
      <c r="C36" s="2154"/>
      <c r="D36" s="1371"/>
      <c r="E36" s="1371">
        <f>SUM(E33:E35)</f>
        <v>0</v>
      </c>
      <c r="F36" s="1372"/>
      <c r="G36" s="1372"/>
      <c r="H36" s="1372"/>
      <c r="I36" s="1371">
        <f t="shared" ref="I36" si="6">SUM(I33:I35)</f>
        <v>0</v>
      </c>
      <c r="J36" s="1371"/>
      <c r="K36" s="2110"/>
      <c r="L36" s="2107"/>
      <c r="M36" s="2107"/>
      <c r="N36" s="1370"/>
      <c r="O36" s="1370"/>
      <c r="P36" s="2112"/>
      <c r="Q36" s="2107"/>
      <c r="R36" s="2118"/>
      <c r="S36" s="2106"/>
      <c r="T36" s="2106"/>
      <c r="U36" s="831"/>
      <c r="V36" s="831"/>
      <c r="W36" s="831"/>
      <c r="X36" s="826"/>
    </row>
    <row r="37" spans="1:24" ht="29.5" customHeight="1">
      <c r="A37" s="2155" t="s">
        <v>2646</v>
      </c>
      <c r="B37" s="1769" t="s">
        <v>1480</v>
      </c>
      <c r="C37" s="1957" t="s">
        <v>1401</v>
      </c>
      <c r="D37" s="1363" t="s">
        <v>341</v>
      </c>
      <c r="E37" s="734"/>
      <c r="F37" s="1114"/>
      <c r="G37" s="1114"/>
      <c r="H37" s="1114"/>
      <c r="I37" s="734">
        <v>0</v>
      </c>
      <c r="J37" s="1701" t="s">
        <v>2377</v>
      </c>
      <c r="K37" s="1699" t="s">
        <v>3782</v>
      </c>
      <c r="L37" s="1639" t="s">
        <v>255</v>
      </c>
      <c r="M37" s="1639" t="s">
        <v>1677</v>
      </c>
      <c r="N37" s="1637" t="s">
        <v>612</v>
      </c>
      <c r="O37" s="1637" t="s">
        <v>613</v>
      </c>
      <c r="P37" s="1637" t="s">
        <v>612</v>
      </c>
      <c r="Q37" s="1637" t="s">
        <v>612</v>
      </c>
      <c r="R37" s="1637" t="s">
        <v>612</v>
      </c>
      <c r="S37" s="1646" t="s">
        <v>2396</v>
      </c>
      <c r="T37" s="1646"/>
      <c r="U37" s="828" t="s">
        <v>2615</v>
      </c>
      <c r="V37" s="649"/>
      <c r="W37" s="649"/>
      <c r="X37" s="1647" t="s">
        <v>3545</v>
      </c>
    </row>
    <row r="38" spans="1:24" ht="25.95" customHeight="1">
      <c r="A38" s="1767"/>
      <c r="B38" s="1769"/>
      <c r="C38" s="1957"/>
      <c r="D38" s="1363" t="s">
        <v>587</v>
      </c>
      <c r="E38" s="734"/>
      <c r="F38" s="1114"/>
      <c r="G38" s="1114"/>
      <c r="H38" s="1114"/>
      <c r="I38" s="734"/>
      <c r="J38" s="1882"/>
      <c r="K38" s="1699"/>
      <c r="L38" s="1639"/>
      <c r="M38" s="1639"/>
      <c r="N38" s="1638"/>
      <c r="O38" s="1638"/>
      <c r="P38" s="1638"/>
      <c r="Q38" s="1638"/>
      <c r="R38" s="1638"/>
      <c r="S38" s="1646"/>
      <c r="T38" s="1646"/>
      <c r="U38" s="649"/>
      <c r="V38" s="649"/>
      <c r="W38" s="649"/>
      <c r="X38" s="1648"/>
    </row>
    <row r="39" spans="1:24" ht="30" customHeight="1">
      <c r="A39" s="1767"/>
      <c r="B39" s="1769"/>
      <c r="C39" s="1957"/>
      <c r="D39" s="1363" t="s">
        <v>668</v>
      </c>
      <c r="E39" s="734"/>
      <c r="F39" s="1114"/>
      <c r="G39" s="1114"/>
      <c r="H39" s="1114"/>
      <c r="I39" s="734">
        <v>10</v>
      </c>
      <c r="J39" s="1882"/>
      <c r="K39" s="1699"/>
      <c r="L39" s="1639"/>
      <c r="M39" s="1639"/>
      <c r="N39" s="1638"/>
      <c r="O39" s="1638"/>
      <c r="P39" s="1638"/>
      <c r="Q39" s="1638"/>
      <c r="R39" s="1638"/>
      <c r="S39" s="1646" t="s">
        <v>2397</v>
      </c>
      <c r="T39" s="1646"/>
      <c r="U39" s="649"/>
      <c r="V39" s="649"/>
      <c r="W39" s="649"/>
      <c r="X39" s="1648"/>
    </row>
    <row r="40" spans="1:24" ht="28.95" customHeight="1">
      <c r="A40" s="1803"/>
      <c r="B40" s="1736"/>
      <c r="C40" s="1737"/>
      <c r="D40" s="705" t="s">
        <v>1321</v>
      </c>
      <c r="E40" s="706"/>
      <c r="F40" s="1106"/>
      <c r="G40" s="1106"/>
      <c r="H40" s="1106"/>
      <c r="I40" s="706">
        <f t="shared" ref="I40" si="7">SUM(I37:I39)</f>
        <v>10</v>
      </c>
      <c r="J40" s="1702"/>
      <c r="K40" s="1700"/>
      <c r="L40" s="1646"/>
      <c r="M40" s="1646"/>
      <c r="N40" s="1639"/>
      <c r="O40" s="1639"/>
      <c r="P40" s="1639"/>
      <c r="Q40" s="1639"/>
      <c r="R40" s="1639"/>
      <c r="S40" s="1646"/>
      <c r="T40" s="1646"/>
      <c r="U40" s="649"/>
      <c r="V40" s="649"/>
      <c r="W40" s="649"/>
      <c r="X40" s="1649"/>
    </row>
    <row r="41" spans="1:24" s="1396" customFormat="1" ht="21" hidden="1" customHeight="1">
      <c r="A41" s="2122" t="s">
        <v>2316</v>
      </c>
      <c r="B41" s="2106" t="s">
        <v>2310</v>
      </c>
      <c r="C41" s="2153">
        <v>188711925</v>
      </c>
      <c r="D41" s="1367" t="s">
        <v>341</v>
      </c>
      <c r="E41" s="1374"/>
      <c r="F41" s="1375"/>
      <c r="G41" s="1375"/>
      <c r="H41" s="1375"/>
      <c r="I41" s="1374"/>
      <c r="J41" s="1374"/>
      <c r="K41" s="2109" t="s">
        <v>2311</v>
      </c>
      <c r="L41" s="2106" t="s">
        <v>2339</v>
      </c>
      <c r="M41" s="2106" t="s">
        <v>2332</v>
      </c>
      <c r="N41" s="650"/>
      <c r="O41" s="650"/>
      <c r="P41" s="2106">
        <v>0</v>
      </c>
      <c r="Q41" s="2117">
        <v>0</v>
      </c>
      <c r="R41" s="2117">
        <v>5</v>
      </c>
      <c r="S41" s="1369" t="s">
        <v>2331</v>
      </c>
      <c r="T41" s="2105" t="s">
        <v>2332</v>
      </c>
      <c r="U41" s="831"/>
      <c r="V41" s="831"/>
      <c r="W41" s="831"/>
      <c r="X41" s="826"/>
    </row>
    <row r="42" spans="1:24" s="1396" customFormat="1" ht="21" hidden="1" customHeight="1">
      <c r="A42" s="2122"/>
      <c r="B42" s="2106"/>
      <c r="C42" s="2153"/>
      <c r="D42" s="1367" t="s">
        <v>587</v>
      </c>
      <c r="E42" s="1374"/>
      <c r="F42" s="1375"/>
      <c r="G42" s="1375"/>
      <c r="H42" s="1375"/>
      <c r="I42" s="1374"/>
      <c r="J42" s="1374"/>
      <c r="K42" s="2109"/>
      <c r="L42" s="2106"/>
      <c r="M42" s="2106"/>
      <c r="N42" s="650"/>
      <c r="O42" s="650"/>
      <c r="P42" s="2106"/>
      <c r="Q42" s="2117"/>
      <c r="R42" s="2117"/>
      <c r="S42" s="1369"/>
      <c r="T42" s="2105"/>
      <c r="U42" s="831"/>
      <c r="V42" s="831"/>
      <c r="W42" s="831"/>
      <c r="X42" s="826"/>
    </row>
    <row r="43" spans="1:24" s="1396" customFormat="1" ht="21" hidden="1" customHeight="1">
      <c r="A43" s="2122"/>
      <c r="B43" s="2106"/>
      <c r="C43" s="2153"/>
      <c r="D43" s="1367" t="s">
        <v>668</v>
      </c>
      <c r="E43" s="1374"/>
      <c r="F43" s="1375"/>
      <c r="G43" s="1375"/>
      <c r="H43" s="1375"/>
      <c r="I43" s="1374"/>
      <c r="J43" s="1374"/>
      <c r="K43" s="2109"/>
      <c r="L43" s="2106"/>
      <c r="M43" s="2106"/>
      <c r="N43" s="650"/>
      <c r="O43" s="650"/>
      <c r="P43" s="2106"/>
      <c r="Q43" s="2117"/>
      <c r="R43" s="2117"/>
      <c r="S43" s="1369"/>
      <c r="T43" s="2105"/>
      <c r="U43" s="831"/>
      <c r="V43" s="831"/>
      <c r="W43" s="831"/>
      <c r="X43" s="826"/>
    </row>
    <row r="44" spans="1:24" s="1396" customFormat="1" ht="21" hidden="1" customHeight="1">
      <c r="A44" s="2123"/>
      <c r="B44" s="2107"/>
      <c r="C44" s="2154"/>
      <c r="D44" s="1371"/>
      <c r="E44" s="1371">
        <f>SUM(E41:E43)</f>
        <v>0</v>
      </c>
      <c r="F44" s="1372"/>
      <c r="G44" s="1372"/>
      <c r="H44" s="1372"/>
      <c r="I44" s="1371">
        <f t="shared" ref="I44" si="8">SUM(I41:I43)</f>
        <v>0</v>
      </c>
      <c r="J44" s="1371">
        <f t="shared" ref="J44" si="9">SUM(J41:J43)</f>
        <v>0</v>
      </c>
      <c r="K44" s="2110"/>
      <c r="L44" s="2107"/>
      <c r="M44" s="2107"/>
      <c r="N44" s="1370"/>
      <c r="O44" s="1370"/>
      <c r="P44" s="2107"/>
      <c r="Q44" s="2118"/>
      <c r="R44" s="2118"/>
      <c r="S44" s="1373"/>
      <c r="T44" s="2106"/>
      <c r="U44" s="831"/>
      <c r="V44" s="831"/>
      <c r="W44" s="831"/>
      <c r="X44" s="826"/>
    </row>
    <row r="45" spans="1:24" s="1396" customFormat="1" ht="21" hidden="1" customHeight="1">
      <c r="A45" s="2122" t="s">
        <v>2317</v>
      </c>
      <c r="B45" s="2106" t="s">
        <v>2312</v>
      </c>
      <c r="C45" s="2153">
        <v>188711925</v>
      </c>
      <c r="D45" s="1367" t="s">
        <v>341</v>
      </c>
      <c r="E45" s="1374"/>
      <c r="F45" s="1375"/>
      <c r="G45" s="1375"/>
      <c r="H45" s="1375"/>
      <c r="I45" s="1374"/>
      <c r="J45" s="1374"/>
      <c r="K45" s="2109" t="s">
        <v>2313</v>
      </c>
      <c r="L45" s="2106" t="s">
        <v>2340</v>
      </c>
      <c r="M45" s="2106" t="s">
        <v>2306</v>
      </c>
      <c r="N45" s="650"/>
      <c r="O45" s="650"/>
      <c r="P45" s="2106"/>
      <c r="Q45" s="2106"/>
      <c r="R45" s="2117">
        <v>1</v>
      </c>
      <c r="S45" s="1369" t="s">
        <v>2333</v>
      </c>
      <c r="T45" s="2105" t="s">
        <v>2334</v>
      </c>
      <c r="U45" s="831"/>
      <c r="V45" s="831"/>
      <c r="W45" s="831"/>
      <c r="X45" s="826"/>
    </row>
    <row r="46" spans="1:24" s="1396" customFormat="1" ht="21" hidden="1" customHeight="1">
      <c r="A46" s="2122"/>
      <c r="B46" s="2106"/>
      <c r="C46" s="2153"/>
      <c r="D46" s="1367" t="s">
        <v>587</v>
      </c>
      <c r="E46" s="1374"/>
      <c r="F46" s="1375"/>
      <c r="G46" s="1375"/>
      <c r="H46" s="1375"/>
      <c r="I46" s="1374"/>
      <c r="J46" s="1374"/>
      <c r="K46" s="2109"/>
      <c r="L46" s="2106"/>
      <c r="M46" s="2106"/>
      <c r="N46" s="650"/>
      <c r="O46" s="650"/>
      <c r="P46" s="2106"/>
      <c r="Q46" s="2106"/>
      <c r="R46" s="2117"/>
      <c r="S46" s="1369"/>
      <c r="T46" s="2105"/>
      <c r="U46" s="831"/>
      <c r="V46" s="831"/>
      <c r="W46" s="831"/>
      <c r="X46" s="826"/>
    </row>
    <row r="47" spans="1:24" s="1396" customFormat="1" ht="21" hidden="1" customHeight="1">
      <c r="A47" s="2122"/>
      <c r="B47" s="2106"/>
      <c r="C47" s="2153"/>
      <c r="D47" s="1367" t="s">
        <v>668</v>
      </c>
      <c r="E47" s="1374"/>
      <c r="F47" s="1375"/>
      <c r="G47" s="1375"/>
      <c r="H47" s="1375"/>
      <c r="I47" s="1374"/>
      <c r="J47" s="1374"/>
      <c r="K47" s="2109"/>
      <c r="L47" s="2106"/>
      <c r="M47" s="2106"/>
      <c r="N47" s="650"/>
      <c r="O47" s="650"/>
      <c r="P47" s="2106"/>
      <c r="Q47" s="2106"/>
      <c r="R47" s="2117"/>
      <c r="S47" s="1369"/>
      <c r="T47" s="2105"/>
      <c r="U47" s="831"/>
      <c r="V47" s="831"/>
      <c r="W47" s="831"/>
      <c r="X47" s="826"/>
    </row>
    <row r="48" spans="1:24" s="1396" customFormat="1" ht="38.25" hidden="1" customHeight="1">
      <c r="A48" s="2123"/>
      <c r="B48" s="2107"/>
      <c r="C48" s="2154"/>
      <c r="D48" s="1371"/>
      <c r="E48" s="1371">
        <f>SUM(E45:E47)</f>
        <v>0</v>
      </c>
      <c r="F48" s="1372"/>
      <c r="G48" s="1372"/>
      <c r="H48" s="1372"/>
      <c r="I48" s="1371">
        <f t="shared" ref="I48" si="10">SUM(I45:I47)</f>
        <v>0</v>
      </c>
      <c r="J48" s="1371">
        <f t="shared" ref="J48" si="11">SUM(J45:J47)</f>
        <v>0</v>
      </c>
      <c r="K48" s="2110"/>
      <c r="L48" s="2107"/>
      <c r="M48" s="2107"/>
      <c r="N48" s="1370"/>
      <c r="O48" s="1370"/>
      <c r="P48" s="2107"/>
      <c r="Q48" s="2107"/>
      <c r="R48" s="2118"/>
      <c r="S48" s="1373"/>
      <c r="T48" s="2106"/>
      <c r="U48" s="831"/>
      <c r="V48" s="831"/>
      <c r="W48" s="831"/>
      <c r="X48" s="826"/>
    </row>
    <row r="49" spans="1:27" ht="70.2" customHeight="1">
      <c r="A49" s="1803" t="s">
        <v>2104</v>
      </c>
      <c r="B49" s="1791" t="s">
        <v>1481</v>
      </c>
      <c r="C49" s="1935">
        <v>188711925</v>
      </c>
      <c r="D49" s="724" t="s">
        <v>668</v>
      </c>
      <c r="E49" s="701">
        <v>20</v>
      </c>
      <c r="F49" s="701">
        <v>20</v>
      </c>
      <c r="G49" s="701">
        <v>20</v>
      </c>
      <c r="H49" s="702">
        <f>G49/F49</f>
        <v>1</v>
      </c>
      <c r="I49" s="701">
        <v>22</v>
      </c>
      <c r="J49" s="1701" t="s">
        <v>2398</v>
      </c>
      <c r="K49" s="1640" t="s">
        <v>3783</v>
      </c>
      <c r="L49" s="1639" t="s">
        <v>256</v>
      </c>
      <c r="M49" s="1639" t="s">
        <v>1678</v>
      </c>
      <c r="N49" s="1637" t="s">
        <v>469</v>
      </c>
      <c r="O49" s="1637" t="s">
        <v>469</v>
      </c>
      <c r="P49" s="1639" t="s">
        <v>469</v>
      </c>
      <c r="Q49" s="1639" t="s">
        <v>613</v>
      </c>
      <c r="R49" s="1639" t="s">
        <v>613</v>
      </c>
      <c r="S49" s="2049" t="s">
        <v>2399</v>
      </c>
      <c r="T49" s="2091"/>
      <c r="U49" s="649"/>
      <c r="V49" s="649"/>
      <c r="W49" s="649"/>
      <c r="X49" s="1647" t="s">
        <v>3548</v>
      </c>
    </row>
    <row r="50" spans="1:27" ht="64.95" customHeight="1">
      <c r="A50" s="1803"/>
      <c r="B50" s="1791"/>
      <c r="C50" s="1935"/>
      <c r="D50" s="727" t="s">
        <v>1321</v>
      </c>
      <c r="E50" s="706">
        <f>E49</f>
        <v>20</v>
      </c>
      <c r="F50" s="706">
        <f t="shared" ref="F50:G50" si="12">F49</f>
        <v>20</v>
      </c>
      <c r="G50" s="706">
        <f t="shared" si="12"/>
        <v>20</v>
      </c>
      <c r="H50" s="707">
        <f>G50/F50</f>
        <v>1</v>
      </c>
      <c r="I50" s="706">
        <f t="shared" ref="I50" si="13">I49</f>
        <v>22</v>
      </c>
      <c r="J50" s="1702"/>
      <c r="K50" s="1708"/>
      <c r="L50" s="1646"/>
      <c r="M50" s="1646"/>
      <c r="N50" s="1639"/>
      <c r="O50" s="1639"/>
      <c r="P50" s="1646"/>
      <c r="Q50" s="1646"/>
      <c r="R50" s="1646"/>
      <c r="S50" s="2050"/>
      <c r="T50" s="2090"/>
      <c r="U50" s="649"/>
      <c r="V50" s="649"/>
      <c r="W50" s="649"/>
      <c r="X50" s="1648"/>
    </row>
    <row r="51" spans="1:27" ht="53.5" customHeight="1">
      <c r="A51" s="1803" t="s">
        <v>2105</v>
      </c>
      <c r="B51" s="1889" t="s">
        <v>644</v>
      </c>
      <c r="C51" s="1935">
        <v>188711925</v>
      </c>
      <c r="D51" s="724" t="s">
        <v>668</v>
      </c>
      <c r="E51" s="701">
        <v>21</v>
      </c>
      <c r="F51" s="701">
        <v>17.869</v>
      </c>
      <c r="G51" s="701">
        <v>15.811999999999999</v>
      </c>
      <c r="H51" s="702">
        <f>G51/F51</f>
        <v>0.88488443673400863</v>
      </c>
      <c r="I51" s="701">
        <v>21</v>
      </c>
      <c r="J51" s="1701" t="s">
        <v>2376</v>
      </c>
      <c r="K51" s="1640" t="s">
        <v>3784</v>
      </c>
      <c r="L51" s="1639" t="s">
        <v>115</v>
      </c>
      <c r="M51" s="1639" t="s">
        <v>608</v>
      </c>
      <c r="N51" s="1637" t="s">
        <v>209</v>
      </c>
      <c r="O51" s="1637" t="s">
        <v>1598</v>
      </c>
      <c r="P51" s="1637" t="s">
        <v>209</v>
      </c>
      <c r="Q51" s="1637" t="s">
        <v>209</v>
      </c>
      <c r="R51" s="1637" t="s">
        <v>209</v>
      </c>
      <c r="S51" s="2049" t="s">
        <v>2309</v>
      </c>
      <c r="T51" s="2091"/>
      <c r="U51" s="649"/>
      <c r="V51" s="649"/>
      <c r="W51" s="649"/>
      <c r="X51" s="1647" t="s">
        <v>3545</v>
      </c>
    </row>
    <row r="52" spans="1:27" ht="45" customHeight="1">
      <c r="A52" s="1803"/>
      <c r="B52" s="1890"/>
      <c r="C52" s="1936"/>
      <c r="D52" s="730" t="s">
        <v>1321</v>
      </c>
      <c r="E52" s="731">
        <f>E51</f>
        <v>21</v>
      </c>
      <c r="F52" s="731">
        <f t="shared" ref="F52:G52" si="14">F51</f>
        <v>17.869</v>
      </c>
      <c r="G52" s="731">
        <f t="shared" si="14"/>
        <v>15.811999999999999</v>
      </c>
      <c r="H52" s="746">
        <f>G52/F52</f>
        <v>0.88488443673400863</v>
      </c>
      <c r="I52" s="731">
        <f t="shared" ref="I52" si="15">I51</f>
        <v>21</v>
      </c>
      <c r="J52" s="1702"/>
      <c r="K52" s="1708"/>
      <c r="L52" s="1646"/>
      <c r="M52" s="1646"/>
      <c r="N52" s="1639"/>
      <c r="O52" s="1639"/>
      <c r="P52" s="1639"/>
      <c r="Q52" s="1639"/>
      <c r="R52" s="1639"/>
      <c r="S52" s="2051"/>
      <c r="T52" s="2089"/>
      <c r="U52" s="649"/>
      <c r="V52" s="649"/>
      <c r="W52" s="649"/>
      <c r="X52" s="1648"/>
    </row>
    <row r="53" spans="1:27" ht="15" hidden="1" customHeight="1">
      <c r="A53" s="1192"/>
      <c r="B53" s="721" t="s">
        <v>3383</v>
      </c>
      <c r="C53" s="722"/>
      <c r="D53" s="852"/>
      <c r="E53" s="941"/>
      <c r="F53" s="941"/>
      <c r="G53" s="941">
        <v>5.984</v>
      </c>
      <c r="H53" s="1376"/>
      <c r="I53" s="941"/>
      <c r="J53" s="614"/>
      <c r="K53" s="1527"/>
      <c r="L53" s="1113"/>
      <c r="M53" s="1113"/>
      <c r="N53" s="1377"/>
      <c r="O53" s="1377"/>
      <c r="P53" s="526"/>
      <c r="Q53" s="526"/>
      <c r="R53" s="526"/>
      <c r="S53" s="2051"/>
      <c r="T53" s="2089"/>
      <c r="U53" s="649"/>
      <c r="V53" s="649"/>
      <c r="W53" s="649"/>
      <c r="X53" s="720"/>
    </row>
    <row r="54" spans="1:27" ht="15" hidden="1" customHeight="1">
      <c r="A54" s="1192"/>
      <c r="B54" s="721" t="s">
        <v>3384</v>
      </c>
      <c r="C54" s="722"/>
      <c r="D54" s="852"/>
      <c r="E54" s="941"/>
      <c r="F54" s="941"/>
      <c r="G54" s="941">
        <v>6</v>
      </c>
      <c r="H54" s="1376"/>
      <c r="I54" s="941"/>
      <c r="J54" s="614"/>
      <c r="K54" s="1527"/>
      <c r="L54" s="1113"/>
      <c r="M54" s="1113"/>
      <c r="N54" s="1377"/>
      <c r="O54" s="1377"/>
      <c r="P54" s="526"/>
      <c r="Q54" s="526"/>
      <c r="R54" s="526"/>
      <c r="S54" s="2051"/>
      <c r="T54" s="2089"/>
      <c r="U54" s="649"/>
      <c r="V54" s="649"/>
      <c r="W54" s="649"/>
      <c r="X54" s="720"/>
    </row>
    <row r="55" spans="1:27" ht="15" hidden="1" customHeight="1">
      <c r="A55" s="1192"/>
      <c r="B55" s="721" t="s">
        <v>3385</v>
      </c>
      <c r="C55" s="722"/>
      <c r="D55" s="852"/>
      <c r="E55" s="941"/>
      <c r="F55" s="941"/>
      <c r="G55" s="941">
        <v>1.6910000000000001</v>
      </c>
      <c r="H55" s="1376"/>
      <c r="I55" s="941"/>
      <c r="J55" s="614"/>
      <c r="K55" s="1527"/>
      <c r="L55" s="1113"/>
      <c r="M55" s="1113"/>
      <c r="N55" s="1377"/>
      <c r="O55" s="1377"/>
      <c r="P55" s="526"/>
      <c r="Q55" s="526"/>
      <c r="R55" s="526"/>
      <c r="S55" s="2051"/>
      <c r="T55" s="2089"/>
      <c r="U55" s="649"/>
      <c r="V55" s="649"/>
      <c r="W55" s="649"/>
      <c r="X55" s="720"/>
    </row>
    <row r="56" spans="1:27" ht="18" hidden="1" customHeight="1">
      <c r="A56" s="1192"/>
      <c r="B56" s="721" t="s">
        <v>3386</v>
      </c>
      <c r="C56" s="722"/>
      <c r="D56" s="852"/>
      <c r="E56" s="941"/>
      <c r="F56" s="941"/>
      <c r="G56" s="941">
        <v>0.45300000000000001</v>
      </c>
      <c r="H56" s="1376"/>
      <c r="I56" s="941"/>
      <c r="J56" s="614"/>
      <c r="K56" s="1527"/>
      <c r="L56" s="1113"/>
      <c r="M56" s="1113"/>
      <c r="N56" s="1377"/>
      <c r="O56" s="1377"/>
      <c r="P56" s="526"/>
      <c r="Q56" s="526"/>
      <c r="R56" s="526"/>
      <c r="S56" s="2051"/>
      <c r="T56" s="2089"/>
      <c r="U56" s="649"/>
      <c r="V56" s="649"/>
      <c r="W56" s="649"/>
      <c r="X56" s="720"/>
    </row>
    <row r="57" spans="1:27" ht="16.5" hidden="1" customHeight="1">
      <c r="A57" s="1192"/>
      <c r="B57" s="721" t="s">
        <v>3387</v>
      </c>
      <c r="C57" s="722"/>
      <c r="D57" s="852"/>
      <c r="E57" s="941"/>
      <c r="F57" s="941"/>
      <c r="G57" s="941">
        <v>0.52800000000000002</v>
      </c>
      <c r="H57" s="1376"/>
      <c r="I57" s="941"/>
      <c r="J57" s="614"/>
      <c r="K57" s="1529" t="s">
        <v>3392</v>
      </c>
      <c r="L57" s="1113"/>
      <c r="M57" s="1113"/>
      <c r="N57" s="1377"/>
      <c r="O57" s="1377"/>
      <c r="P57" s="526"/>
      <c r="Q57" s="526"/>
      <c r="R57" s="526"/>
      <c r="S57" s="2051"/>
      <c r="T57" s="2089"/>
      <c r="U57" s="649"/>
      <c r="V57" s="649"/>
      <c r="W57" s="649"/>
      <c r="X57" s="720"/>
    </row>
    <row r="58" spans="1:27" ht="18.75" hidden="1" customHeight="1">
      <c r="A58" s="1192"/>
      <c r="B58" s="721" t="s">
        <v>3388</v>
      </c>
      <c r="C58" s="722"/>
      <c r="D58" s="852"/>
      <c r="E58" s="941"/>
      <c r="F58" s="941"/>
      <c r="G58" s="941">
        <v>0.36899999999999999</v>
      </c>
      <c r="H58" s="1376"/>
      <c r="I58" s="941"/>
      <c r="J58" s="614"/>
      <c r="K58" s="1527"/>
      <c r="L58" s="1113"/>
      <c r="M58" s="1113"/>
      <c r="N58" s="1377"/>
      <c r="O58" s="1377"/>
      <c r="P58" s="526"/>
      <c r="Q58" s="526"/>
      <c r="R58" s="526"/>
      <c r="S58" s="2051"/>
      <c r="T58" s="2089"/>
      <c r="U58" s="649"/>
      <c r="V58" s="649"/>
      <c r="W58" s="649"/>
      <c r="X58" s="720"/>
    </row>
    <row r="59" spans="1:27" ht="12.75" hidden="1" customHeight="1">
      <c r="A59" s="1192"/>
      <c r="B59" s="721" t="s">
        <v>3389</v>
      </c>
      <c r="C59" s="722"/>
      <c r="D59" s="852"/>
      <c r="E59" s="941"/>
      <c r="F59" s="941"/>
      <c r="G59" s="941">
        <v>0.78700000000000003</v>
      </c>
      <c r="H59" s="1376"/>
      <c r="I59" s="941"/>
      <c r="J59" s="614"/>
      <c r="K59" s="1527"/>
      <c r="L59" s="1113"/>
      <c r="M59" s="1113"/>
      <c r="N59" s="1377"/>
      <c r="O59" s="1377"/>
      <c r="P59" s="526"/>
      <c r="Q59" s="526"/>
      <c r="R59" s="526"/>
      <c r="S59" s="2051"/>
      <c r="T59" s="2089"/>
      <c r="U59" s="649"/>
      <c r="V59" s="649"/>
      <c r="W59" s="649"/>
      <c r="X59" s="720"/>
    </row>
    <row r="60" spans="1:27" ht="45" hidden="1" customHeight="1">
      <c r="A60" s="1192"/>
      <c r="B60" s="721"/>
      <c r="C60" s="722"/>
      <c r="D60" s="852"/>
      <c r="E60" s="941"/>
      <c r="F60" s="941"/>
      <c r="G60" s="1130">
        <f>G53+G54+G55+G56+G57+G58+G59</f>
        <v>15.812000000000001</v>
      </c>
      <c r="H60" s="1376"/>
      <c r="I60" s="941"/>
      <c r="J60" s="614"/>
      <c r="K60" s="1527"/>
      <c r="L60" s="1113"/>
      <c r="M60" s="1113"/>
      <c r="N60" s="1377"/>
      <c r="O60" s="1377"/>
      <c r="P60" s="526"/>
      <c r="Q60" s="526"/>
      <c r="R60" s="526"/>
      <c r="S60" s="2051"/>
      <c r="T60" s="2089"/>
      <c r="U60" s="649"/>
      <c r="V60" s="649"/>
      <c r="W60" s="649"/>
      <c r="X60" s="657"/>
    </row>
    <row r="61" spans="1:27" ht="45" hidden="1" customHeight="1">
      <c r="A61" s="1192"/>
      <c r="B61" s="1378"/>
      <c r="C61" s="1176"/>
      <c r="D61" s="1194"/>
      <c r="E61" s="1379"/>
      <c r="F61" s="1379"/>
      <c r="G61" s="1379">
        <f>G60-G51</f>
        <v>0</v>
      </c>
      <c r="H61" s="1380"/>
      <c r="I61" s="1379"/>
      <c r="J61" s="1196"/>
      <c r="K61" s="1531"/>
      <c r="L61" s="1113"/>
      <c r="M61" s="1113"/>
      <c r="N61" s="1377"/>
      <c r="O61" s="1377"/>
      <c r="P61" s="526"/>
      <c r="Q61" s="526"/>
      <c r="R61" s="526"/>
      <c r="S61" s="2051"/>
      <c r="T61" s="2089"/>
      <c r="U61" s="649"/>
      <c r="V61" s="649"/>
      <c r="W61" s="649"/>
      <c r="X61" s="657"/>
    </row>
    <row r="62" spans="1:27" ht="68.5" customHeight="1">
      <c r="A62" s="1803" t="s">
        <v>2106</v>
      </c>
      <c r="B62" s="1889" t="s">
        <v>3785</v>
      </c>
      <c r="C62" s="1935">
        <v>188711925</v>
      </c>
      <c r="D62" s="724" t="s">
        <v>668</v>
      </c>
      <c r="E62" s="701">
        <v>53</v>
      </c>
      <c r="F62" s="701">
        <v>53</v>
      </c>
      <c r="G62" s="701">
        <v>53</v>
      </c>
      <c r="H62" s="702">
        <f>G62/F62</f>
        <v>1</v>
      </c>
      <c r="I62" s="701">
        <v>51</v>
      </c>
      <c r="J62" s="1701" t="s">
        <v>2376</v>
      </c>
      <c r="K62" s="1699" t="s">
        <v>3786</v>
      </c>
      <c r="L62" s="1639" t="s">
        <v>3393</v>
      </c>
      <c r="M62" s="1639" t="s">
        <v>2765</v>
      </c>
      <c r="N62" s="1637" t="s">
        <v>449</v>
      </c>
      <c r="O62" s="1637" t="s">
        <v>3394</v>
      </c>
      <c r="P62" s="1637" t="s">
        <v>449</v>
      </c>
      <c r="Q62" s="1637" t="s">
        <v>449</v>
      </c>
      <c r="R62" s="1637" t="s">
        <v>449</v>
      </c>
      <c r="S62" s="2051"/>
      <c r="T62" s="2089"/>
      <c r="U62" s="828" t="s">
        <v>2647</v>
      </c>
      <c r="V62" s="828"/>
      <c r="W62" s="649"/>
      <c r="X62" s="1647" t="s">
        <v>3545</v>
      </c>
    </row>
    <row r="63" spans="1:27" ht="122.5" customHeight="1">
      <c r="A63" s="1803"/>
      <c r="B63" s="1890"/>
      <c r="C63" s="1936"/>
      <c r="D63" s="730" t="s">
        <v>1321</v>
      </c>
      <c r="E63" s="731">
        <f>E62</f>
        <v>53</v>
      </c>
      <c r="F63" s="731">
        <f t="shared" ref="F63:H63" si="16">F62</f>
        <v>53</v>
      </c>
      <c r="G63" s="731">
        <f t="shared" si="16"/>
        <v>53</v>
      </c>
      <c r="H63" s="746">
        <f t="shared" si="16"/>
        <v>1</v>
      </c>
      <c r="I63" s="731">
        <f t="shared" ref="I63" si="17">I62</f>
        <v>51</v>
      </c>
      <c r="J63" s="1702"/>
      <c r="K63" s="1700"/>
      <c r="L63" s="1646"/>
      <c r="M63" s="1646"/>
      <c r="N63" s="1639"/>
      <c r="O63" s="1639"/>
      <c r="P63" s="1639"/>
      <c r="Q63" s="1639"/>
      <c r="R63" s="1639"/>
      <c r="S63" s="2051"/>
      <c r="T63" s="2089"/>
      <c r="U63" s="649"/>
      <c r="V63" s="649"/>
      <c r="W63" s="649"/>
      <c r="X63" s="1648"/>
    </row>
    <row r="64" spans="1:27" ht="36" customHeight="1">
      <c r="A64" s="1803" t="s">
        <v>2107</v>
      </c>
      <c r="B64" s="1889" t="s">
        <v>1482</v>
      </c>
      <c r="C64" s="1935" t="s">
        <v>1325</v>
      </c>
      <c r="D64" s="724" t="s">
        <v>668</v>
      </c>
      <c r="E64" s="701">
        <v>40</v>
      </c>
      <c r="F64" s="701">
        <v>24.164999999999999</v>
      </c>
      <c r="G64" s="701">
        <v>24.164000000000001</v>
      </c>
      <c r="H64" s="702">
        <f>G64/F64</f>
        <v>0.99995861783571294</v>
      </c>
      <c r="I64" s="701">
        <v>30</v>
      </c>
      <c r="J64" s="1701" t="s">
        <v>2376</v>
      </c>
      <c r="K64" s="1699" t="s">
        <v>3433</v>
      </c>
      <c r="L64" s="1639" t="s">
        <v>3395</v>
      </c>
      <c r="M64" s="638" t="s">
        <v>3399</v>
      </c>
      <c r="N64" s="638" t="s">
        <v>566</v>
      </c>
      <c r="O64" s="638" t="s">
        <v>3396</v>
      </c>
      <c r="P64" s="525" t="s">
        <v>566</v>
      </c>
      <c r="Q64" s="525" t="s">
        <v>566</v>
      </c>
      <c r="R64" s="525" t="s">
        <v>566</v>
      </c>
      <c r="S64" s="2051"/>
      <c r="T64" s="2089"/>
      <c r="U64" s="649"/>
      <c r="V64" s="649"/>
      <c r="W64" s="649"/>
      <c r="X64" s="657" t="s">
        <v>3548</v>
      </c>
      <c r="AA64" s="603"/>
    </row>
    <row r="65" spans="1:24" ht="30" customHeight="1">
      <c r="A65" s="1803"/>
      <c r="B65" s="1890"/>
      <c r="C65" s="1936"/>
      <c r="D65" s="1136" t="s">
        <v>1587</v>
      </c>
      <c r="E65" s="798">
        <v>81.349999999999994</v>
      </c>
      <c r="F65" s="798">
        <v>81.751000000000005</v>
      </c>
      <c r="G65" s="798">
        <v>81.751000000000005</v>
      </c>
      <c r="H65" s="763">
        <f>G65/F65</f>
        <v>1</v>
      </c>
      <c r="I65" s="798">
        <v>86.06</v>
      </c>
      <c r="J65" s="1882"/>
      <c r="K65" s="1700"/>
      <c r="L65" s="1639"/>
      <c r="M65" s="1646" t="s">
        <v>3397</v>
      </c>
      <c r="N65" s="1646" t="s">
        <v>3398</v>
      </c>
      <c r="O65" s="1646" t="s">
        <v>3398</v>
      </c>
      <c r="P65" s="1646" t="s">
        <v>1740</v>
      </c>
      <c r="Q65" s="1646" t="s">
        <v>1740</v>
      </c>
      <c r="R65" s="1646" t="s">
        <v>1740</v>
      </c>
      <c r="S65" s="2051"/>
      <c r="T65" s="2089"/>
      <c r="U65" s="649"/>
      <c r="V65" s="649"/>
      <c r="W65" s="649"/>
      <c r="X65" s="1665" t="s">
        <v>3548</v>
      </c>
    </row>
    <row r="66" spans="1:24" ht="12.65" customHeight="1">
      <c r="A66" s="1803"/>
      <c r="B66" s="1890"/>
      <c r="C66" s="1936"/>
      <c r="D66" s="730" t="s">
        <v>1321</v>
      </c>
      <c r="E66" s="731">
        <f>SUM(E64:E65,)</f>
        <v>121.35</v>
      </c>
      <c r="F66" s="731">
        <f t="shared" ref="F66:G66" si="18">SUM(F64:F65,)</f>
        <v>105.916</v>
      </c>
      <c r="G66" s="731">
        <f t="shared" si="18"/>
        <v>105.91500000000001</v>
      </c>
      <c r="H66" s="746">
        <f>G66/F66</f>
        <v>0.99999055855583674</v>
      </c>
      <c r="I66" s="731">
        <f>I64+I65</f>
        <v>116.06</v>
      </c>
      <c r="J66" s="1702"/>
      <c r="K66" s="1700"/>
      <c r="L66" s="1646"/>
      <c r="M66" s="1646"/>
      <c r="N66" s="1646"/>
      <c r="O66" s="1646"/>
      <c r="P66" s="1646"/>
      <c r="Q66" s="1646"/>
      <c r="R66" s="1646"/>
      <c r="S66" s="2051"/>
      <c r="T66" s="2089"/>
      <c r="U66" s="649"/>
      <c r="V66" s="649"/>
      <c r="W66" s="649"/>
      <c r="X66" s="1671"/>
    </row>
    <row r="67" spans="1:24" ht="33.65" customHeight="1">
      <c r="A67" s="1803" t="s">
        <v>2108</v>
      </c>
      <c r="B67" s="1889" t="s">
        <v>2989</v>
      </c>
      <c r="C67" s="1935">
        <v>188711925</v>
      </c>
      <c r="D67" s="724" t="s">
        <v>668</v>
      </c>
      <c r="E67" s="701">
        <v>6</v>
      </c>
      <c r="F67" s="701">
        <v>6</v>
      </c>
      <c r="G67" s="701">
        <v>3.121</v>
      </c>
      <c r="H67" s="702">
        <f>G67/F67</f>
        <v>0.52016666666666667</v>
      </c>
      <c r="I67" s="701">
        <v>25</v>
      </c>
      <c r="J67" s="1701" t="s">
        <v>2376</v>
      </c>
      <c r="K67" s="1699" t="s">
        <v>3787</v>
      </c>
      <c r="L67" s="1639" t="s">
        <v>322</v>
      </c>
      <c r="M67" s="1639" t="s">
        <v>2991</v>
      </c>
      <c r="N67" s="1637" t="s">
        <v>469</v>
      </c>
      <c r="O67" s="1637" t="s">
        <v>551</v>
      </c>
      <c r="P67" s="1637" t="s">
        <v>1536</v>
      </c>
      <c r="Q67" s="1637" t="s">
        <v>1536</v>
      </c>
      <c r="R67" s="1637" t="s">
        <v>1536</v>
      </c>
      <c r="S67" s="2051"/>
      <c r="T67" s="2089"/>
      <c r="U67" s="649"/>
      <c r="V67" s="649"/>
      <c r="W67" s="649"/>
      <c r="X67" s="1665" t="s">
        <v>3548</v>
      </c>
    </row>
    <row r="68" spans="1:24" ht="43.2" hidden="1" customHeight="1">
      <c r="A68" s="1803"/>
      <c r="B68" s="1890"/>
      <c r="C68" s="1936"/>
      <c r="D68" s="724" t="s">
        <v>2751</v>
      </c>
      <c r="E68" s="798"/>
      <c r="F68" s="1137"/>
      <c r="G68" s="798"/>
      <c r="H68" s="798"/>
      <c r="I68" s="798">
        <v>25</v>
      </c>
      <c r="J68" s="1882"/>
      <c r="K68" s="1699"/>
      <c r="L68" s="1639"/>
      <c r="M68" s="1639"/>
      <c r="N68" s="1638"/>
      <c r="O68" s="1638"/>
      <c r="P68" s="1638"/>
      <c r="Q68" s="1638"/>
      <c r="R68" s="1638"/>
      <c r="S68" s="2051"/>
      <c r="T68" s="2089"/>
      <c r="U68" s="649"/>
      <c r="V68" s="649"/>
      <c r="W68" s="649"/>
      <c r="X68" s="1666"/>
    </row>
    <row r="69" spans="1:24" ht="60.65" customHeight="1">
      <c r="A69" s="1803"/>
      <c r="B69" s="1890"/>
      <c r="C69" s="1936"/>
      <c r="D69" s="730" t="s">
        <v>1321</v>
      </c>
      <c r="E69" s="731">
        <f>E67</f>
        <v>6</v>
      </c>
      <c r="F69" s="731">
        <f t="shared" ref="F69:G69" si="19">F67</f>
        <v>6</v>
      </c>
      <c r="G69" s="731">
        <f t="shared" si="19"/>
        <v>3.121</v>
      </c>
      <c r="H69" s="746">
        <f>G69/F69</f>
        <v>0.52016666666666667</v>
      </c>
      <c r="I69" s="731">
        <f>I67+I68</f>
        <v>50</v>
      </c>
      <c r="J69" s="1702"/>
      <c r="K69" s="1700"/>
      <c r="L69" s="1646"/>
      <c r="M69" s="1646"/>
      <c r="N69" s="1639"/>
      <c r="O69" s="1639"/>
      <c r="P69" s="1639"/>
      <c r="Q69" s="1639"/>
      <c r="R69" s="1639"/>
      <c r="S69" s="2050"/>
      <c r="T69" s="2090"/>
      <c r="U69" s="649"/>
      <c r="V69" s="649"/>
      <c r="W69" s="649"/>
      <c r="X69" s="1671"/>
    </row>
    <row r="70" spans="1:24" ht="31.95" customHeight="1">
      <c r="A70" s="1803" t="s">
        <v>2109</v>
      </c>
      <c r="B70" s="2150" t="s">
        <v>2988</v>
      </c>
      <c r="C70" s="1935">
        <v>188711925</v>
      </c>
      <c r="D70" s="724" t="s">
        <v>668</v>
      </c>
      <c r="E70" s="701">
        <v>46.13</v>
      </c>
      <c r="F70" s="701">
        <v>88.924000000000007</v>
      </c>
      <c r="G70" s="701">
        <v>88.921999999999997</v>
      </c>
      <c r="H70" s="702">
        <f>G70/F70</f>
        <v>0.99997750888399073</v>
      </c>
      <c r="I70" s="701"/>
      <c r="J70" s="1701" t="s">
        <v>2400</v>
      </c>
      <c r="K70" s="1640" t="s">
        <v>3788</v>
      </c>
      <c r="L70" s="1639" t="s">
        <v>564</v>
      </c>
      <c r="M70" s="1639" t="s">
        <v>2992</v>
      </c>
      <c r="N70" s="1637" t="s">
        <v>449</v>
      </c>
      <c r="O70" s="1637" t="s">
        <v>613</v>
      </c>
      <c r="P70" s="1639" t="s">
        <v>2648</v>
      </c>
      <c r="Q70" s="1639" t="s">
        <v>613</v>
      </c>
      <c r="R70" s="1639" t="s">
        <v>613</v>
      </c>
      <c r="S70" s="1646" t="s">
        <v>2766</v>
      </c>
      <c r="T70" s="1646"/>
      <c r="U70" s="649"/>
      <c r="V70" s="649"/>
      <c r="W70" s="649"/>
      <c r="X70" s="1665" t="s">
        <v>3626</v>
      </c>
    </row>
    <row r="71" spans="1:24" ht="29.5" customHeight="1">
      <c r="A71" s="1803"/>
      <c r="B71" s="2150"/>
      <c r="C71" s="1935"/>
      <c r="D71" s="724" t="s">
        <v>341</v>
      </c>
      <c r="E71" s="701">
        <v>89.578000000000003</v>
      </c>
      <c r="F71" s="701">
        <v>44.753999999999998</v>
      </c>
      <c r="G71" s="701">
        <v>44.755000000000003</v>
      </c>
      <c r="H71" s="702">
        <f>G71/F71</f>
        <v>1.0000223443714529</v>
      </c>
      <c r="I71" s="701"/>
      <c r="J71" s="1882"/>
      <c r="K71" s="2057"/>
      <c r="L71" s="1639"/>
      <c r="M71" s="1639"/>
      <c r="N71" s="1638"/>
      <c r="O71" s="1638"/>
      <c r="P71" s="1639"/>
      <c r="Q71" s="1639"/>
      <c r="R71" s="1639"/>
      <c r="S71" s="1646"/>
      <c r="T71" s="1646"/>
      <c r="U71" s="649"/>
      <c r="V71" s="649"/>
      <c r="W71" s="649"/>
      <c r="X71" s="1666"/>
    </row>
    <row r="72" spans="1:24" ht="30" customHeight="1">
      <c r="A72" s="1803"/>
      <c r="B72" s="2150"/>
      <c r="C72" s="1935"/>
      <c r="D72" s="724" t="s">
        <v>1349</v>
      </c>
      <c r="E72" s="701">
        <v>4.53</v>
      </c>
      <c r="F72" s="701">
        <v>4.53</v>
      </c>
      <c r="G72" s="701">
        <v>4.53</v>
      </c>
      <c r="H72" s="702">
        <f>G72/F72</f>
        <v>1</v>
      </c>
      <c r="I72" s="701"/>
      <c r="J72" s="1882"/>
      <c r="K72" s="2057"/>
      <c r="L72" s="1639"/>
      <c r="M72" s="1639"/>
      <c r="N72" s="1638"/>
      <c r="O72" s="1638"/>
      <c r="P72" s="1639"/>
      <c r="Q72" s="1639"/>
      <c r="R72" s="1639"/>
      <c r="S72" s="1646"/>
      <c r="T72" s="1646"/>
      <c r="U72" s="649"/>
      <c r="V72" s="649"/>
      <c r="W72" s="649"/>
      <c r="X72" s="1666"/>
    </row>
    <row r="73" spans="1:24" ht="21" hidden="1" customHeight="1">
      <c r="A73" s="1803"/>
      <c r="B73" s="2150"/>
      <c r="C73" s="1935"/>
      <c r="D73" s="724" t="s">
        <v>587</v>
      </c>
      <c r="E73" s="701">
        <v>0</v>
      </c>
      <c r="F73" s="701"/>
      <c r="G73" s="701"/>
      <c r="H73" s="701"/>
      <c r="I73" s="701"/>
      <c r="J73" s="1882"/>
      <c r="K73" s="2057"/>
      <c r="L73" s="1639"/>
      <c r="M73" s="1639"/>
      <c r="N73" s="1638"/>
      <c r="O73" s="1638"/>
      <c r="P73" s="1639"/>
      <c r="Q73" s="1639"/>
      <c r="R73" s="1639"/>
      <c r="S73" s="1646"/>
      <c r="T73" s="1646"/>
      <c r="U73" s="649"/>
      <c r="V73" s="649"/>
      <c r="W73" s="649"/>
      <c r="X73" s="1666"/>
    </row>
    <row r="74" spans="1:24" ht="19.95" customHeight="1">
      <c r="A74" s="1765"/>
      <c r="B74" s="2151"/>
      <c r="C74" s="1936"/>
      <c r="D74" s="730" t="s">
        <v>1321</v>
      </c>
      <c r="E74" s="731">
        <f>SUM(E70:E73,)</f>
        <v>140.238</v>
      </c>
      <c r="F74" s="731">
        <f>SUM(F70:F73,)</f>
        <v>138.208</v>
      </c>
      <c r="G74" s="731">
        <f>SUM(G70:G73,)</f>
        <v>138.20699999999999</v>
      </c>
      <c r="H74" s="746">
        <f>G74/F74</f>
        <v>0.99999276452882613</v>
      </c>
      <c r="I74" s="731">
        <f t="shared" ref="I74" si="20">I70</f>
        <v>0</v>
      </c>
      <c r="J74" s="1882"/>
      <c r="K74" s="2152"/>
      <c r="L74" s="1637"/>
      <c r="M74" s="1637"/>
      <c r="N74" s="1639"/>
      <c r="O74" s="1639"/>
      <c r="P74" s="1637"/>
      <c r="Q74" s="1637"/>
      <c r="R74" s="1637"/>
      <c r="S74" s="1637"/>
      <c r="T74" s="1637"/>
      <c r="U74" s="649"/>
      <c r="V74" s="649"/>
      <c r="W74" s="649"/>
      <c r="X74" s="1671"/>
    </row>
    <row r="75" spans="1:24" ht="32.5" customHeight="1">
      <c r="A75" s="501" t="s">
        <v>2130</v>
      </c>
      <c r="B75" s="496" t="s">
        <v>1483</v>
      </c>
      <c r="C75" s="501"/>
      <c r="D75" s="501"/>
      <c r="E75" s="502">
        <f>SUM(E77,E79,E81,)</f>
        <v>27</v>
      </c>
      <c r="F75" s="502">
        <f t="shared" ref="F75:G75" si="21">SUM(F77,F79,F81,)</f>
        <v>23.501999999999999</v>
      </c>
      <c r="G75" s="502">
        <f t="shared" si="21"/>
        <v>11.285</v>
      </c>
      <c r="H75" s="539">
        <f>G75/F75</f>
        <v>0.48017190026380735</v>
      </c>
      <c r="I75" s="502">
        <f t="shared" ref="I75" si="22">SUM(I77,I79,I81,)</f>
        <v>29</v>
      </c>
      <c r="J75" s="501" t="s">
        <v>1075</v>
      </c>
      <c r="K75" s="2075"/>
      <c r="L75" s="2075"/>
      <c r="M75" s="2075"/>
      <c r="N75" s="2075"/>
      <c r="O75" s="2075"/>
      <c r="P75" s="496">
        <v>889</v>
      </c>
      <c r="Q75" s="496">
        <v>890</v>
      </c>
      <c r="R75" s="496">
        <v>891</v>
      </c>
      <c r="S75" s="2098" t="s">
        <v>2206</v>
      </c>
      <c r="T75" s="2099"/>
      <c r="U75" s="649"/>
      <c r="V75" s="649"/>
      <c r="W75" s="649"/>
      <c r="X75" s="1383"/>
    </row>
    <row r="76" spans="1:24" ht="39" customHeight="1">
      <c r="A76" s="1767" t="s">
        <v>2110</v>
      </c>
      <c r="B76" s="1895" t="s">
        <v>1484</v>
      </c>
      <c r="C76" s="1937">
        <v>188711925</v>
      </c>
      <c r="D76" s="733" t="s">
        <v>668</v>
      </c>
      <c r="E76" s="734">
        <v>7</v>
      </c>
      <c r="F76" s="734">
        <v>7</v>
      </c>
      <c r="G76" s="734"/>
      <c r="H76" s="734"/>
      <c r="I76" s="734">
        <v>19</v>
      </c>
      <c r="J76" s="1701" t="s">
        <v>2205</v>
      </c>
      <c r="K76" s="1642" t="s">
        <v>3429</v>
      </c>
      <c r="L76" s="1639" t="s">
        <v>460</v>
      </c>
      <c r="M76" s="1639" t="s">
        <v>938</v>
      </c>
      <c r="N76" s="1638" t="s">
        <v>1568</v>
      </c>
      <c r="O76" s="1638" t="s">
        <v>613</v>
      </c>
      <c r="P76" s="1639" t="s">
        <v>1536</v>
      </c>
      <c r="Q76" s="1639" t="s">
        <v>1568</v>
      </c>
      <c r="R76" s="1639" t="s">
        <v>612</v>
      </c>
      <c r="S76" s="2100"/>
      <c r="T76" s="2101"/>
      <c r="U76" s="649"/>
      <c r="V76" s="649"/>
      <c r="W76" s="649"/>
      <c r="X76" s="1665" t="s">
        <v>3626</v>
      </c>
    </row>
    <row r="77" spans="1:24" ht="24" customHeight="1">
      <c r="A77" s="1803"/>
      <c r="B77" s="1889"/>
      <c r="C77" s="1935"/>
      <c r="D77" s="727" t="s">
        <v>1321</v>
      </c>
      <c r="E77" s="706">
        <f>E76</f>
        <v>7</v>
      </c>
      <c r="F77" s="706">
        <f t="shared" ref="F77" si="23">F76</f>
        <v>7</v>
      </c>
      <c r="G77" s="706"/>
      <c r="H77" s="706"/>
      <c r="I77" s="706">
        <f t="shared" ref="I77" si="24">I76</f>
        <v>19</v>
      </c>
      <c r="J77" s="1702"/>
      <c r="K77" s="1708"/>
      <c r="L77" s="1646"/>
      <c r="M77" s="1646"/>
      <c r="N77" s="1639"/>
      <c r="O77" s="1639"/>
      <c r="P77" s="1646"/>
      <c r="Q77" s="1646"/>
      <c r="R77" s="1646"/>
      <c r="S77" s="2100"/>
      <c r="T77" s="2101"/>
      <c r="U77" s="649"/>
      <c r="V77" s="649"/>
      <c r="W77" s="649"/>
      <c r="X77" s="1671"/>
    </row>
    <row r="78" spans="1:24" ht="48.65" customHeight="1">
      <c r="A78" s="1803" t="s">
        <v>2111</v>
      </c>
      <c r="B78" s="1889" t="s">
        <v>1485</v>
      </c>
      <c r="C78" s="1935">
        <v>188711925</v>
      </c>
      <c r="D78" s="724" t="s">
        <v>668</v>
      </c>
      <c r="E78" s="701">
        <v>10</v>
      </c>
      <c r="F78" s="701">
        <v>10</v>
      </c>
      <c r="G78" s="701">
        <v>10</v>
      </c>
      <c r="H78" s="702">
        <f>G78/F78</f>
        <v>1</v>
      </c>
      <c r="I78" s="701">
        <v>10</v>
      </c>
      <c r="J78" s="1701" t="s">
        <v>2205</v>
      </c>
      <c r="K78" s="1640" t="s">
        <v>3789</v>
      </c>
      <c r="L78" s="1639" t="s">
        <v>61</v>
      </c>
      <c r="M78" s="1639" t="s">
        <v>2993</v>
      </c>
      <c r="N78" s="1637" t="s">
        <v>469</v>
      </c>
      <c r="O78" s="1637" t="s">
        <v>469</v>
      </c>
      <c r="P78" s="1639" t="s">
        <v>845</v>
      </c>
      <c r="Q78" s="1639" t="s">
        <v>845</v>
      </c>
      <c r="R78" s="1639" t="s">
        <v>845</v>
      </c>
      <c r="S78" s="2100"/>
      <c r="T78" s="2101"/>
      <c r="U78" s="649"/>
      <c r="V78" s="649"/>
      <c r="W78" s="649"/>
      <c r="X78" s="1665" t="s">
        <v>3548</v>
      </c>
    </row>
    <row r="79" spans="1:24" ht="104.25" customHeight="1">
      <c r="A79" s="1803"/>
      <c r="B79" s="1889"/>
      <c r="C79" s="1935"/>
      <c r="D79" s="727" t="s">
        <v>1321</v>
      </c>
      <c r="E79" s="706">
        <f>E78</f>
        <v>10</v>
      </c>
      <c r="F79" s="706">
        <f t="shared" ref="F79:G79" si="25">F78</f>
        <v>10</v>
      </c>
      <c r="G79" s="706">
        <f t="shared" si="25"/>
        <v>10</v>
      </c>
      <c r="H79" s="707">
        <f>G79/F79</f>
        <v>1</v>
      </c>
      <c r="I79" s="706">
        <f t="shared" ref="I79" si="26">I78</f>
        <v>10</v>
      </c>
      <c r="J79" s="1702"/>
      <c r="K79" s="1708"/>
      <c r="L79" s="1646"/>
      <c r="M79" s="1646"/>
      <c r="N79" s="1639"/>
      <c r="O79" s="1639"/>
      <c r="P79" s="1646"/>
      <c r="Q79" s="1646"/>
      <c r="R79" s="1646"/>
      <c r="S79" s="2100"/>
      <c r="T79" s="2101"/>
      <c r="U79" s="649"/>
      <c r="V79" s="649"/>
      <c r="W79" s="649"/>
      <c r="X79" s="1671"/>
    </row>
    <row r="80" spans="1:24" ht="42" customHeight="1">
      <c r="A80" s="1803" t="s">
        <v>2112</v>
      </c>
      <c r="B80" s="1889" t="s">
        <v>2748</v>
      </c>
      <c r="C80" s="1935">
        <v>188711925</v>
      </c>
      <c r="D80" s="724" t="s">
        <v>668</v>
      </c>
      <c r="E80" s="701">
        <v>10</v>
      </c>
      <c r="F80" s="701">
        <v>6.5019999999999998</v>
      </c>
      <c r="G80" s="701">
        <v>1.2849999999999999</v>
      </c>
      <c r="H80" s="702">
        <f>G80/F80</f>
        <v>0.19763149800061519</v>
      </c>
      <c r="I80" s="701">
        <v>0</v>
      </c>
      <c r="J80" s="1701" t="s">
        <v>2205</v>
      </c>
      <c r="K80" s="1640" t="s">
        <v>3790</v>
      </c>
      <c r="L80" s="1639" t="s">
        <v>3390</v>
      </c>
      <c r="M80" s="1639" t="s">
        <v>1679</v>
      </c>
      <c r="N80" s="1637" t="s">
        <v>613</v>
      </c>
      <c r="O80" s="1637" t="s">
        <v>613</v>
      </c>
      <c r="P80" s="1639" t="s">
        <v>613</v>
      </c>
      <c r="Q80" s="1639" t="s">
        <v>613</v>
      </c>
      <c r="R80" s="1639" t="s">
        <v>613</v>
      </c>
      <c r="S80" s="2100"/>
      <c r="T80" s="2101"/>
      <c r="U80" s="649"/>
      <c r="V80" s="649"/>
      <c r="W80" s="649"/>
      <c r="X80" s="1665" t="s">
        <v>3626</v>
      </c>
    </row>
    <row r="81" spans="1:24" ht="74.25" customHeight="1">
      <c r="A81" s="1803"/>
      <c r="B81" s="1889"/>
      <c r="C81" s="1935"/>
      <c r="D81" s="727" t="s">
        <v>1321</v>
      </c>
      <c r="E81" s="706">
        <f>E80</f>
        <v>10</v>
      </c>
      <c r="F81" s="706">
        <f t="shared" ref="F81:G81" si="27">F80</f>
        <v>6.5019999999999998</v>
      </c>
      <c r="G81" s="706">
        <f t="shared" si="27"/>
        <v>1.2849999999999999</v>
      </c>
      <c r="H81" s="707">
        <f>G81/F81</f>
        <v>0.19763149800061519</v>
      </c>
      <c r="I81" s="706">
        <f t="shared" ref="I81" si="28">I80</f>
        <v>0</v>
      </c>
      <c r="J81" s="1702"/>
      <c r="K81" s="1708"/>
      <c r="L81" s="1646"/>
      <c r="M81" s="1646"/>
      <c r="N81" s="1639"/>
      <c r="O81" s="1639"/>
      <c r="P81" s="1646"/>
      <c r="Q81" s="1646"/>
      <c r="R81" s="1646"/>
      <c r="S81" s="2102"/>
      <c r="T81" s="2103"/>
      <c r="U81" s="649"/>
      <c r="V81" s="649"/>
      <c r="W81" s="649"/>
      <c r="X81" s="1671"/>
    </row>
    <row r="82" spans="1:24" ht="51" customHeight="1">
      <c r="A82" s="501" t="s">
        <v>2131</v>
      </c>
      <c r="B82" s="496" t="s">
        <v>2132</v>
      </c>
      <c r="C82" s="501"/>
      <c r="D82" s="501"/>
      <c r="E82" s="502">
        <f>SUM(E84,E86,E90,E92)</f>
        <v>58</v>
      </c>
      <c r="F82" s="502">
        <f t="shared" ref="F82:G82" si="29">SUM(F84,F86,F90,F92)</f>
        <v>58</v>
      </c>
      <c r="G82" s="502">
        <f t="shared" si="29"/>
        <v>20.850999999999999</v>
      </c>
      <c r="H82" s="539">
        <f>G82/F82</f>
        <v>0.35949999999999999</v>
      </c>
      <c r="I82" s="502">
        <f t="shared" ref="I82" si="30">SUM(I84,I86,I90,I92)</f>
        <v>75.5</v>
      </c>
      <c r="J82" s="501" t="s">
        <v>1075</v>
      </c>
      <c r="K82" s="1651"/>
      <c r="L82" s="1652"/>
      <c r="M82" s="1652"/>
      <c r="N82" s="1652"/>
      <c r="O82" s="1756"/>
      <c r="P82" s="496">
        <v>739</v>
      </c>
      <c r="Q82" s="496">
        <v>740</v>
      </c>
      <c r="R82" s="496">
        <v>741</v>
      </c>
      <c r="S82" s="2049" t="s">
        <v>2206</v>
      </c>
      <c r="T82" s="2091"/>
      <c r="U82" s="649"/>
      <c r="V82" s="649"/>
      <c r="W82" s="649"/>
      <c r="X82" s="1383"/>
    </row>
    <row r="83" spans="1:24" ht="91.95" hidden="1" customHeight="1">
      <c r="A83" s="1767" t="s">
        <v>2113</v>
      </c>
      <c r="B83" s="1769" t="s">
        <v>1486</v>
      </c>
      <c r="C83" s="1957">
        <v>188711925</v>
      </c>
      <c r="D83" s="659" t="s">
        <v>668</v>
      </c>
      <c r="E83" s="734"/>
      <c r="F83" s="1114"/>
      <c r="G83" s="1114"/>
      <c r="H83" s="1114"/>
      <c r="I83" s="734"/>
      <c r="J83" s="1701" t="s">
        <v>2205</v>
      </c>
      <c r="K83" s="1714" t="s">
        <v>2347</v>
      </c>
      <c r="L83" s="1639" t="s">
        <v>1680</v>
      </c>
      <c r="M83" s="1639" t="s">
        <v>1016</v>
      </c>
      <c r="N83" s="1637" t="s">
        <v>469</v>
      </c>
      <c r="O83" s="1637" t="s">
        <v>613</v>
      </c>
      <c r="P83" s="1639" t="s">
        <v>613</v>
      </c>
      <c r="Q83" s="1639" t="s">
        <v>469</v>
      </c>
      <c r="R83" s="1639" t="s">
        <v>469</v>
      </c>
      <c r="S83" s="2051"/>
      <c r="T83" s="2089"/>
      <c r="U83" s="649"/>
      <c r="V83" s="649"/>
      <c r="W83" s="649"/>
      <c r="X83" s="657"/>
    </row>
    <row r="84" spans="1:24" ht="179.25" hidden="1" customHeight="1">
      <c r="A84" s="1803"/>
      <c r="B84" s="1736"/>
      <c r="C84" s="1737"/>
      <c r="D84" s="705" t="s">
        <v>1321</v>
      </c>
      <c r="E84" s="706"/>
      <c r="F84" s="1106"/>
      <c r="G84" s="1106"/>
      <c r="H84" s="1106"/>
      <c r="I84" s="706">
        <f>I83</f>
        <v>0</v>
      </c>
      <c r="J84" s="1702"/>
      <c r="K84" s="1931"/>
      <c r="L84" s="1646"/>
      <c r="M84" s="1646"/>
      <c r="N84" s="1639"/>
      <c r="O84" s="1639"/>
      <c r="P84" s="1646"/>
      <c r="Q84" s="1646"/>
      <c r="R84" s="1646"/>
      <c r="S84" s="2050"/>
      <c r="T84" s="2090"/>
      <c r="U84" s="649"/>
      <c r="V84" s="649"/>
      <c r="W84" s="649"/>
      <c r="X84" s="657"/>
    </row>
    <row r="85" spans="1:24" ht="49.5" customHeight="1">
      <c r="A85" s="1767" t="s">
        <v>2114</v>
      </c>
      <c r="B85" s="1769" t="s">
        <v>2990</v>
      </c>
      <c r="C85" s="1957" t="s">
        <v>1401</v>
      </c>
      <c r="D85" s="659" t="s">
        <v>668</v>
      </c>
      <c r="E85" s="734"/>
      <c r="F85" s="1114"/>
      <c r="G85" s="1114"/>
      <c r="H85" s="1114"/>
      <c r="I85" s="734">
        <v>34.5</v>
      </c>
      <c r="J85" s="1701" t="s">
        <v>1079</v>
      </c>
      <c r="K85" s="1699" t="s">
        <v>3400</v>
      </c>
      <c r="L85" s="1639" t="s">
        <v>851</v>
      </c>
      <c r="M85" s="1639" t="s">
        <v>2994</v>
      </c>
      <c r="N85" s="1637" t="s">
        <v>6</v>
      </c>
      <c r="O85" s="1637" t="s">
        <v>205</v>
      </c>
      <c r="P85" s="1639" t="s">
        <v>469</v>
      </c>
      <c r="Q85" s="1769" t="s">
        <v>613</v>
      </c>
      <c r="R85" s="1769" t="s">
        <v>613</v>
      </c>
      <c r="S85" s="2113" t="s">
        <v>1074</v>
      </c>
      <c r="T85" s="2114"/>
      <c r="U85" s="828" t="s">
        <v>2649</v>
      </c>
      <c r="V85" s="649"/>
      <c r="W85" s="649"/>
      <c r="X85" s="1665" t="s">
        <v>3548</v>
      </c>
    </row>
    <row r="86" spans="1:24" ht="96" customHeight="1">
      <c r="A86" s="1803"/>
      <c r="B86" s="1736"/>
      <c r="C86" s="1737"/>
      <c r="D86" s="705" t="s">
        <v>1321</v>
      </c>
      <c r="E86" s="706"/>
      <c r="F86" s="1106"/>
      <c r="G86" s="1106"/>
      <c r="H86" s="1106"/>
      <c r="I86" s="706">
        <f>I85</f>
        <v>34.5</v>
      </c>
      <c r="J86" s="1702"/>
      <c r="K86" s="1700"/>
      <c r="L86" s="1646"/>
      <c r="M86" s="1646"/>
      <c r="N86" s="1639"/>
      <c r="O86" s="1639"/>
      <c r="P86" s="1646"/>
      <c r="Q86" s="1736"/>
      <c r="R86" s="1736"/>
      <c r="S86" s="2115"/>
      <c r="T86" s="2116"/>
      <c r="U86" s="649"/>
      <c r="V86" s="649"/>
      <c r="W86" s="649"/>
      <c r="X86" s="1671"/>
    </row>
    <row r="87" spans="1:24" ht="21" hidden="1" customHeight="1">
      <c r="A87" s="1066"/>
      <c r="B87" s="1382" t="s">
        <v>2560</v>
      </c>
      <c r="C87" s="473"/>
      <c r="D87" s="1068"/>
      <c r="E87" s="784"/>
      <c r="F87" s="1069"/>
      <c r="G87" s="1069"/>
      <c r="H87" s="1069"/>
      <c r="I87" s="464">
        <v>31.5</v>
      </c>
      <c r="J87" s="784"/>
      <c r="K87" s="1548"/>
      <c r="L87" s="834"/>
      <c r="M87" s="486"/>
      <c r="N87" s="486"/>
      <c r="O87" s="486"/>
      <c r="P87" s="834"/>
      <c r="Q87" s="834"/>
      <c r="R87" s="834"/>
      <c r="S87" s="486"/>
      <c r="T87" s="486"/>
      <c r="U87" s="649"/>
      <c r="V87" s="649"/>
      <c r="W87" s="649"/>
      <c r="X87" s="657"/>
    </row>
    <row r="88" spans="1:24" ht="8.25" hidden="1" customHeight="1">
      <c r="A88" s="1066"/>
      <c r="B88" s="1382" t="s">
        <v>2561</v>
      </c>
      <c r="C88" s="473"/>
      <c r="D88" s="1068"/>
      <c r="E88" s="784"/>
      <c r="F88" s="1069"/>
      <c r="G88" s="1069"/>
      <c r="H88" s="1069"/>
      <c r="I88" s="464">
        <v>3</v>
      </c>
      <c r="J88" s="784"/>
      <c r="K88" s="1548"/>
      <c r="L88" s="834"/>
      <c r="M88" s="486"/>
      <c r="N88" s="486"/>
      <c r="O88" s="486"/>
      <c r="P88" s="834"/>
      <c r="Q88" s="834"/>
      <c r="R88" s="834"/>
      <c r="S88" s="486"/>
      <c r="T88" s="486"/>
      <c r="U88" s="649"/>
      <c r="V88" s="649"/>
      <c r="W88" s="649"/>
      <c r="X88" s="657"/>
    </row>
    <row r="89" spans="1:24" ht="36.65" customHeight="1">
      <c r="A89" s="1803" t="s">
        <v>2115</v>
      </c>
      <c r="B89" s="1889" t="s">
        <v>1487</v>
      </c>
      <c r="C89" s="1935">
        <v>188711925</v>
      </c>
      <c r="D89" s="724" t="s">
        <v>668</v>
      </c>
      <c r="E89" s="701">
        <v>52</v>
      </c>
      <c r="F89" s="701">
        <v>52</v>
      </c>
      <c r="G89" s="701">
        <v>18.391999999999999</v>
      </c>
      <c r="H89" s="702">
        <f>G89/F89</f>
        <v>0.35369230769230769</v>
      </c>
      <c r="I89" s="701">
        <v>35</v>
      </c>
      <c r="J89" s="1701" t="s">
        <v>2377</v>
      </c>
      <c r="K89" s="1640" t="s">
        <v>3791</v>
      </c>
      <c r="L89" s="1639" t="s">
        <v>285</v>
      </c>
      <c r="M89" s="1639" t="s">
        <v>1681</v>
      </c>
      <c r="N89" s="1637" t="s">
        <v>1531</v>
      </c>
      <c r="O89" s="1637" t="s">
        <v>612</v>
      </c>
      <c r="P89" s="1769" t="s">
        <v>1531</v>
      </c>
      <c r="Q89" s="1769" t="s">
        <v>551</v>
      </c>
      <c r="R89" s="1769" t="s">
        <v>1536</v>
      </c>
      <c r="S89" s="2049" t="s">
        <v>2341</v>
      </c>
      <c r="T89" s="2091"/>
      <c r="U89" s="649"/>
      <c r="V89" s="649"/>
      <c r="W89" s="649"/>
      <c r="X89" s="1665" t="s">
        <v>3574</v>
      </c>
    </row>
    <row r="90" spans="1:24" ht="27" customHeight="1">
      <c r="A90" s="1803"/>
      <c r="B90" s="1889"/>
      <c r="C90" s="1935"/>
      <c r="D90" s="727" t="s">
        <v>1321</v>
      </c>
      <c r="E90" s="706">
        <f>E89</f>
        <v>52</v>
      </c>
      <c r="F90" s="706">
        <f t="shared" ref="F90:H90" si="31">F89</f>
        <v>52</v>
      </c>
      <c r="G90" s="706">
        <f t="shared" si="31"/>
        <v>18.391999999999999</v>
      </c>
      <c r="H90" s="707">
        <f t="shared" si="31"/>
        <v>0.35369230769230769</v>
      </c>
      <c r="I90" s="706">
        <f t="shared" ref="I90" si="32">I89</f>
        <v>35</v>
      </c>
      <c r="J90" s="1702"/>
      <c r="K90" s="1708"/>
      <c r="L90" s="1646"/>
      <c r="M90" s="1646"/>
      <c r="N90" s="1639"/>
      <c r="O90" s="1639"/>
      <c r="P90" s="1736"/>
      <c r="Q90" s="1736"/>
      <c r="R90" s="1736"/>
      <c r="S90" s="2050"/>
      <c r="T90" s="2090"/>
      <c r="U90" s="649"/>
      <c r="V90" s="649"/>
      <c r="W90" s="649"/>
      <c r="X90" s="1671"/>
    </row>
    <row r="91" spans="1:24" ht="28.95" customHeight="1">
      <c r="A91" s="1803" t="s">
        <v>2116</v>
      </c>
      <c r="B91" s="1889" t="s">
        <v>1488</v>
      </c>
      <c r="C91" s="1935">
        <v>188711925</v>
      </c>
      <c r="D91" s="724" t="s">
        <v>668</v>
      </c>
      <c r="E91" s="701">
        <v>6</v>
      </c>
      <c r="F91" s="701">
        <v>6</v>
      </c>
      <c r="G91" s="701">
        <v>2.4590000000000001</v>
      </c>
      <c r="H91" s="702">
        <f>G91/F91</f>
        <v>0.40983333333333333</v>
      </c>
      <c r="I91" s="701">
        <v>6</v>
      </c>
      <c r="J91" s="1701" t="s">
        <v>2377</v>
      </c>
      <c r="K91" s="1640" t="s">
        <v>3792</v>
      </c>
      <c r="L91" s="1637" t="s">
        <v>828</v>
      </c>
      <c r="M91" s="1637" t="s">
        <v>1682</v>
      </c>
      <c r="N91" s="1637" t="s">
        <v>566</v>
      </c>
      <c r="O91" s="1637" t="s">
        <v>1598</v>
      </c>
      <c r="P91" s="1637" t="s">
        <v>566</v>
      </c>
      <c r="Q91" s="1637" t="s">
        <v>209</v>
      </c>
      <c r="R91" s="1637" t="s">
        <v>11</v>
      </c>
      <c r="S91" s="2049" t="s">
        <v>2341</v>
      </c>
      <c r="T91" s="2091"/>
      <c r="U91" s="649"/>
      <c r="V91" s="649"/>
      <c r="W91" s="649"/>
      <c r="X91" s="1665" t="s">
        <v>3574</v>
      </c>
    </row>
    <row r="92" spans="1:24" ht="31.95" customHeight="1">
      <c r="A92" s="1803"/>
      <c r="B92" s="1890"/>
      <c r="C92" s="1936"/>
      <c r="D92" s="730" t="s">
        <v>1321</v>
      </c>
      <c r="E92" s="731">
        <f>E91</f>
        <v>6</v>
      </c>
      <c r="F92" s="731">
        <f t="shared" ref="F92:G92" si="33">F91</f>
        <v>6</v>
      </c>
      <c r="G92" s="731">
        <f t="shared" si="33"/>
        <v>2.4590000000000001</v>
      </c>
      <c r="H92" s="707">
        <f>G92/F92</f>
        <v>0.40983333333333333</v>
      </c>
      <c r="I92" s="731">
        <f>I91</f>
        <v>6</v>
      </c>
      <c r="J92" s="1702"/>
      <c r="K92" s="1641"/>
      <c r="L92" s="1639"/>
      <c r="M92" s="1639"/>
      <c r="N92" s="1639"/>
      <c r="O92" s="1639"/>
      <c r="P92" s="1639"/>
      <c r="Q92" s="1639"/>
      <c r="R92" s="1639"/>
      <c r="S92" s="2050"/>
      <c r="T92" s="2090"/>
      <c r="U92" s="649"/>
      <c r="V92" s="649"/>
      <c r="W92" s="649"/>
      <c r="X92" s="1671"/>
    </row>
    <row r="93" spans="1:24" ht="39.75" customHeight="1">
      <c r="A93" s="501" t="s">
        <v>2133</v>
      </c>
      <c r="B93" s="496" t="s">
        <v>2501</v>
      </c>
      <c r="C93" s="1383"/>
      <c r="D93" s="1383"/>
      <c r="E93" s="502">
        <f>SUM(E95,E97,E99,E101,E103)</f>
        <v>51.494</v>
      </c>
      <c r="F93" s="502">
        <f t="shared" ref="F93:G93" si="34">SUM(F95,F97,F99,F101,F103)</f>
        <v>51.494</v>
      </c>
      <c r="G93" s="502">
        <f t="shared" si="34"/>
        <v>43.109000000000002</v>
      </c>
      <c r="H93" s="539">
        <f>G93/F93</f>
        <v>0.83716549500912729</v>
      </c>
      <c r="I93" s="502">
        <f t="shared" ref="I93" si="35">SUM(I95,I97,I99,I101,I103)</f>
        <v>302.97499999999997</v>
      </c>
      <c r="J93" s="501" t="s">
        <v>2401</v>
      </c>
      <c r="K93" s="2075"/>
      <c r="L93" s="2075"/>
      <c r="M93" s="2075"/>
      <c r="N93" s="2075"/>
      <c r="O93" s="2075"/>
      <c r="P93" s="501">
        <v>19.5</v>
      </c>
      <c r="Q93" s="501">
        <v>20</v>
      </c>
      <c r="R93" s="501">
        <v>20</v>
      </c>
      <c r="S93" s="1651"/>
      <c r="T93" s="1756"/>
      <c r="U93" s="649"/>
      <c r="V93" s="649"/>
      <c r="W93" s="649"/>
      <c r="X93" s="1383"/>
    </row>
    <row r="94" spans="1:24" ht="36" hidden="1" customHeight="1">
      <c r="A94" s="1767" t="s">
        <v>2117</v>
      </c>
      <c r="B94" s="1769" t="s">
        <v>2767</v>
      </c>
      <c r="C94" s="1957">
        <v>188711925</v>
      </c>
      <c r="D94" s="659" t="s">
        <v>2751</v>
      </c>
      <c r="E94" s="734">
        <v>0</v>
      </c>
      <c r="F94" s="1114"/>
      <c r="G94" s="1114"/>
      <c r="H94" s="1114"/>
      <c r="I94" s="734">
        <v>46.67</v>
      </c>
      <c r="J94" s="1701" t="s">
        <v>2377</v>
      </c>
      <c r="K94" s="1641" t="s">
        <v>2768</v>
      </c>
      <c r="L94" s="1639" t="s">
        <v>1683</v>
      </c>
      <c r="M94" s="1639"/>
      <c r="N94" s="1638"/>
      <c r="O94" s="1638"/>
      <c r="P94" s="1639" t="s">
        <v>613</v>
      </c>
      <c r="Q94" s="1639" t="s">
        <v>469</v>
      </c>
      <c r="R94" s="1639" t="s">
        <v>613</v>
      </c>
      <c r="S94" s="2049" t="s">
        <v>2332</v>
      </c>
      <c r="T94" s="2091"/>
      <c r="U94" s="649"/>
      <c r="V94" s="649"/>
      <c r="W94" s="649"/>
      <c r="X94" s="657"/>
    </row>
    <row r="95" spans="1:24" ht="60" hidden="1" customHeight="1">
      <c r="A95" s="1803"/>
      <c r="B95" s="1736"/>
      <c r="C95" s="1737"/>
      <c r="D95" s="705" t="s">
        <v>1321</v>
      </c>
      <c r="E95" s="706">
        <f>SUM(E94:E94)</f>
        <v>0</v>
      </c>
      <c r="F95" s="1106"/>
      <c r="G95" s="1106"/>
      <c r="H95" s="1106"/>
      <c r="I95" s="706">
        <f t="shared" ref="I95" si="36">SUM(I94:I94)</f>
        <v>46.67</v>
      </c>
      <c r="J95" s="1702"/>
      <c r="K95" s="1700"/>
      <c r="L95" s="1646"/>
      <c r="M95" s="1646"/>
      <c r="N95" s="1639"/>
      <c r="O95" s="1639"/>
      <c r="P95" s="1646"/>
      <c r="Q95" s="1646"/>
      <c r="R95" s="1646"/>
      <c r="S95" s="2050"/>
      <c r="T95" s="2090"/>
      <c r="U95" s="649"/>
      <c r="V95" s="649"/>
      <c r="W95" s="649"/>
      <c r="X95" s="657"/>
    </row>
    <row r="96" spans="1:24" s="1396" customFormat="1" ht="40.950000000000003" hidden="1" customHeight="1">
      <c r="A96" s="1767" t="s">
        <v>2118</v>
      </c>
      <c r="B96" s="1769" t="s">
        <v>1489</v>
      </c>
      <c r="C96" s="1957" t="s">
        <v>1401</v>
      </c>
      <c r="D96" s="659" t="s">
        <v>668</v>
      </c>
      <c r="E96" s="734"/>
      <c r="F96" s="1114"/>
      <c r="G96" s="1114"/>
      <c r="H96" s="1114"/>
      <c r="I96" s="734">
        <v>0</v>
      </c>
      <c r="J96" s="1701" t="s">
        <v>2400</v>
      </c>
      <c r="K96" s="1699" t="s">
        <v>1698</v>
      </c>
      <c r="L96" s="1639" t="s">
        <v>1684</v>
      </c>
      <c r="M96" s="1639" t="s">
        <v>1687</v>
      </c>
      <c r="N96" s="1637" t="s">
        <v>613</v>
      </c>
      <c r="O96" s="1637" t="s">
        <v>613</v>
      </c>
      <c r="P96" s="1639" t="s">
        <v>613</v>
      </c>
      <c r="Q96" s="1639" t="s">
        <v>613</v>
      </c>
      <c r="R96" s="1639" t="s">
        <v>469</v>
      </c>
      <c r="S96" s="2092" t="s">
        <v>1687</v>
      </c>
      <c r="T96" s="2093"/>
      <c r="U96" s="831"/>
      <c r="V96" s="831"/>
      <c r="W96" s="831"/>
      <c r="X96" s="826"/>
    </row>
    <row r="97" spans="1:24" s="1396" customFormat="1" ht="31.5" hidden="1" customHeight="1">
      <c r="A97" s="1803"/>
      <c r="B97" s="1736"/>
      <c r="C97" s="1737"/>
      <c r="D97" s="705" t="s">
        <v>1321</v>
      </c>
      <c r="E97" s="706"/>
      <c r="F97" s="1106"/>
      <c r="G97" s="1106"/>
      <c r="H97" s="1106"/>
      <c r="I97" s="706">
        <f t="shared" ref="I97" si="37">SUM(I96:I96)</f>
        <v>0</v>
      </c>
      <c r="J97" s="1702"/>
      <c r="K97" s="1700"/>
      <c r="L97" s="1646"/>
      <c r="M97" s="1646"/>
      <c r="N97" s="1639"/>
      <c r="O97" s="1639"/>
      <c r="P97" s="1646"/>
      <c r="Q97" s="1646"/>
      <c r="R97" s="1646"/>
      <c r="S97" s="2094"/>
      <c r="T97" s="2095"/>
      <c r="U97" s="831"/>
      <c r="V97" s="831"/>
      <c r="W97" s="831"/>
      <c r="X97" s="826"/>
    </row>
    <row r="98" spans="1:24" s="1396" customFormat="1" ht="55.2" hidden="1" customHeight="1">
      <c r="A98" s="1803" t="s">
        <v>2119</v>
      </c>
      <c r="B98" s="1889" t="s">
        <v>1490</v>
      </c>
      <c r="C98" s="1935">
        <v>188711925</v>
      </c>
      <c r="D98" s="724" t="s">
        <v>668</v>
      </c>
      <c r="E98" s="701">
        <v>0</v>
      </c>
      <c r="F98" s="810"/>
      <c r="G98" s="810"/>
      <c r="H98" s="810"/>
      <c r="I98" s="701"/>
      <c r="J98" s="1701" t="s">
        <v>2400</v>
      </c>
      <c r="K98" s="1640" t="s">
        <v>2770</v>
      </c>
      <c r="L98" s="1639" t="s">
        <v>1685</v>
      </c>
      <c r="M98" s="1639" t="s">
        <v>1688</v>
      </c>
      <c r="N98" s="1637" t="s">
        <v>613</v>
      </c>
      <c r="O98" s="1637"/>
      <c r="P98" s="1639" t="s">
        <v>613</v>
      </c>
      <c r="Q98" s="1639" t="s">
        <v>613</v>
      </c>
      <c r="R98" s="1639" t="s">
        <v>469</v>
      </c>
      <c r="S98" s="2094"/>
      <c r="T98" s="2095"/>
      <c r="U98" s="831"/>
      <c r="V98" s="831"/>
      <c r="W98" s="831"/>
      <c r="X98" s="826"/>
    </row>
    <row r="99" spans="1:24" s="1396" customFormat="1" ht="36" hidden="1" customHeight="1">
      <c r="A99" s="1803"/>
      <c r="B99" s="1889"/>
      <c r="C99" s="1935"/>
      <c r="D99" s="727" t="s">
        <v>1321</v>
      </c>
      <c r="E99" s="706">
        <f>E98</f>
        <v>0</v>
      </c>
      <c r="F99" s="1106"/>
      <c r="G99" s="1106"/>
      <c r="H99" s="1106"/>
      <c r="I99" s="706">
        <f t="shared" ref="I99" si="38">I98</f>
        <v>0</v>
      </c>
      <c r="J99" s="1702"/>
      <c r="K99" s="1708"/>
      <c r="L99" s="1646"/>
      <c r="M99" s="1646"/>
      <c r="N99" s="1639"/>
      <c r="O99" s="1639"/>
      <c r="P99" s="1646"/>
      <c r="Q99" s="1646"/>
      <c r="R99" s="1646"/>
      <c r="S99" s="2094"/>
      <c r="T99" s="2095"/>
      <c r="U99" s="831"/>
      <c r="V99" s="831"/>
      <c r="W99" s="831"/>
      <c r="X99" s="826"/>
    </row>
    <row r="100" spans="1:24" ht="38.5" customHeight="1">
      <c r="A100" s="1803" t="s">
        <v>2120</v>
      </c>
      <c r="B100" s="1889" t="s">
        <v>2769</v>
      </c>
      <c r="C100" s="1935">
        <v>188711925</v>
      </c>
      <c r="D100" s="724" t="s">
        <v>341</v>
      </c>
      <c r="E100" s="701">
        <v>51.494</v>
      </c>
      <c r="F100" s="701">
        <v>51.494</v>
      </c>
      <c r="G100" s="701">
        <v>43.109000000000002</v>
      </c>
      <c r="H100" s="702">
        <f>G100/F100</f>
        <v>0.83716549500912729</v>
      </c>
      <c r="I100" s="701">
        <v>8.3849999999999998</v>
      </c>
      <c r="J100" s="1701" t="s">
        <v>2400</v>
      </c>
      <c r="K100" s="1640" t="s">
        <v>2650</v>
      </c>
      <c r="L100" s="1639" t="s">
        <v>3436</v>
      </c>
      <c r="M100" s="1639" t="s">
        <v>2651</v>
      </c>
      <c r="N100" s="1637" t="s">
        <v>845</v>
      </c>
      <c r="O100" s="1637" t="s">
        <v>845</v>
      </c>
      <c r="P100" s="1639" t="s">
        <v>469</v>
      </c>
      <c r="Q100" s="1639" t="s">
        <v>613</v>
      </c>
      <c r="R100" s="1639" t="s">
        <v>613</v>
      </c>
      <c r="S100" s="2094"/>
      <c r="T100" s="2095"/>
      <c r="U100" s="649"/>
      <c r="V100" s="649"/>
      <c r="W100" s="649"/>
      <c r="X100" s="1665" t="s">
        <v>3548</v>
      </c>
    </row>
    <row r="101" spans="1:24" ht="42" customHeight="1">
      <c r="A101" s="1803"/>
      <c r="B101" s="1889"/>
      <c r="C101" s="1935"/>
      <c r="D101" s="727" t="s">
        <v>1321</v>
      </c>
      <c r="E101" s="706">
        <f>E100</f>
        <v>51.494</v>
      </c>
      <c r="F101" s="706">
        <f t="shared" ref="F101:G101" si="39">F100</f>
        <v>51.494</v>
      </c>
      <c r="G101" s="706">
        <f t="shared" si="39"/>
        <v>43.109000000000002</v>
      </c>
      <c r="H101" s="707">
        <f>G101/F101</f>
        <v>0.83716549500912729</v>
      </c>
      <c r="I101" s="706">
        <f t="shared" ref="I101" si="40">I100</f>
        <v>8.3849999999999998</v>
      </c>
      <c r="J101" s="1702"/>
      <c r="K101" s="1708"/>
      <c r="L101" s="1646"/>
      <c r="M101" s="1646"/>
      <c r="N101" s="1639"/>
      <c r="O101" s="1639"/>
      <c r="P101" s="1646"/>
      <c r="Q101" s="1646"/>
      <c r="R101" s="1646"/>
      <c r="S101" s="2096"/>
      <c r="T101" s="2097"/>
      <c r="U101" s="649"/>
      <c r="V101" s="649"/>
      <c r="W101" s="649"/>
      <c r="X101" s="1671"/>
    </row>
    <row r="102" spans="1:24" ht="29.5" customHeight="1">
      <c r="A102" s="1803" t="s">
        <v>2121</v>
      </c>
      <c r="B102" s="1889" t="s">
        <v>2771</v>
      </c>
      <c r="C102" s="1935">
        <v>188711925</v>
      </c>
      <c r="D102" s="724" t="s">
        <v>66</v>
      </c>
      <c r="E102" s="701"/>
      <c r="F102" s="810"/>
      <c r="G102" s="810"/>
      <c r="H102" s="810"/>
      <c r="I102" s="701">
        <v>247.92</v>
      </c>
      <c r="J102" s="1701" t="s">
        <v>1079</v>
      </c>
      <c r="K102" s="1640" t="s">
        <v>3793</v>
      </c>
      <c r="L102" s="1639" t="s">
        <v>3437</v>
      </c>
      <c r="M102" s="1639" t="s">
        <v>2995</v>
      </c>
      <c r="N102" s="1637" t="s">
        <v>613</v>
      </c>
      <c r="O102" s="1637" t="s">
        <v>613</v>
      </c>
      <c r="P102" s="1637" t="s">
        <v>613</v>
      </c>
      <c r="Q102" s="1637" t="s">
        <v>1531</v>
      </c>
      <c r="R102" s="1637" t="s">
        <v>1536</v>
      </c>
      <c r="S102" s="2049" t="s">
        <v>2348</v>
      </c>
      <c r="T102" s="2091"/>
      <c r="U102" s="649"/>
      <c r="V102" s="649"/>
      <c r="W102" s="649"/>
      <c r="X102" s="1665" t="s">
        <v>3626</v>
      </c>
    </row>
    <row r="103" spans="1:24" ht="33" customHeight="1">
      <c r="A103" s="1803"/>
      <c r="B103" s="1890"/>
      <c r="C103" s="1936"/>
      <c r="D103" s="730" t="s">
        <v>1321</v>
      </c>
      <c r="E103" s="731">
        <f>E102</f>
        <v>0</v>
      </c>
      <c r="F103" s="1097"/>
      <c r="G103" s="1097"/>
      <c r="H103" s="1097"/>
      <c r="I103" s="731">
        <f>I102</f>
        <v>247.92</v>
      </c>
      <c r="J103" s="1702"/>
      <c r="K103" s="1709"/>
      <c r="L103" s="1637"/>
      <c r="M103" s="1637"/>
      <c r="N103" s="1638"/>
      <c r="O103" s="1638"/>
      <c r="P103" s="1638"/>
      <c r="Q103" s="1638"/>
      <c r="R103" s="1638"/>
      <c r="S103" s="2051"/>
      <c r="T103" s="2089"/>
      <c r="U103" s="649"/>
      <c r="V103" s="649"/>
      <c r="W103" s="649"/>
      <c r="X103" s="1671"/>
    </row>
    <row r="104" spans="1:24" ht="35.25" customHeight="1">
      <c r="A104" s="501" t="s">
        <v>2366</v>
      </c>
      <c r="B104" s="496" t="s">
        <v>2134</v>
      </c>
      <c r="C104" s="501"/>
      <c r="D104" s="501"/>
      <c r="E104" s="502">
        <f>SUM(E108,E118,E122,E130,E136,E139,E141,E143)</f>
        <v>152.828</v>
      </c>
      <c r="F104" s="502">
        <f>SUM(F108,F118,F122,F130,F136,F139,F141,F143)</f>
        <v>129.58699999999999</v>
      </c>
      <c r="G104" s="502">
        <f>SUM(G108,G118,G122,G130,G136,G139,G141,G143)</f>
        <v>129.58699999999999</v>
      </c>
      <c r="H104" s="539">
        <f>G104/F104</f>
        <v>1</v>
      </c>
      <c r="I104" s="502" t="e">
        <f>SUM(I108,I118,I122,I130,I136,I139,I141,I143)</f>
        <v>#REF!</v>
      </c>
      <c r="J104" s="501" t="s">
        <v>1086</v>
      </c>
      <c r="K104" s="2075"/>
      <c r="L104" s="2075"/>
      <c r="M104" s="2075"/>
      <c r="N104" s="2075"/>
      <c r="O104" s="2075"/>
      <c r="P104" s="2075"/>
      <c r="Q104" s="2075"/>
      <c r="R104" s="2075"/>
      <c r="S104" s="2075"/>
      <c r="T104" s="2075"/>
      <c r="U104" s="2075"/>
      <c r="V104" s="2075"/>
      <c r="W104" s="2075"/>
      <c r="X104" s="2075"/>
    </row>
    <row r="105" spans="1:24" ht="26.5" hidden="1" customHeight="1">
      <c r="A105" s="1767" t="s">
        <v>2351</v>
      </c>
      <c r="B105" s="1769" t="s">
        <v>2355</v>
      </c>
      <c r="C105" s="1957" t="s">
        <v>1401</v>
      </c>
      <c r="D105" s="659" t="s">
        <v>341</v>
      </c>
      <c r="E105" s="734">
        <f>SUM(E109,E113)</f>
        <v>0</v>
      </c>
      <c r="F105" s="1114"/>
      <c r="G105" s="1114"/>
      <c r="H105" s="1114"/>
      <c r="I105" s="734">
        <f>SUM(I109,I113)</f>
        <v>86.4</v>
      </c>
      <c r="J105" s="1701" t="s">
        <v>2403</v>
      </c>
      <c r="K105" s="1641" t="s">
        <v>3434</v>
      </c>
      <c r="L105" s="1639" t="s">
        <v>619</v>
      </c>
      <c r="M105" s="1639" t="s">
        <v>2996</v>
      </c>
      <c r="N105" s="1638" t="s">
        <v>469</v>
      </c>
      <c r="O105" s="1638" t="s">
        <v>469</v>
      </c>
      <c r="P105" s="1769"/>
      <c r="Q105" s="1769"/>
      <c r="R105" s="1769"/>
      <c r="S105" s="2051" t="s">
        <v>2359</v>
      </c>
      <c r="T105" s="2089"/>
      <c r="U105" s="649"/>
      <c r="V105" s="649"/>
      <c r="W105" s="649"/>
      <c r="X105" s="726"/>
    </row>
    <row r="106" spans="1:24" ht="0.75" hidden="1" customHeight="1">
      <c r="A106" s="1767"/>
      <c r="B106" s="1769"/>
      <c r="C106" s="1957"/>
      <c r="D106" s="659" t="s">
        <v>587</v>
      </c>
      <c r="E106" s="734"/>
      <c r="F106" s="1114"/>
      <c r="G106" s="1114"/>
      <c r="H106" s="1114"/>
      <c r="I106" s="734"/>
      <c r="J106" s="1882"/>
      <c r="K106" s="1641"/>
      <c r="L106" s="1639"/>
      <c r="M106" s="1639"/>
      <c r="N106" s="1638"/>
      <c r="O106" s="1638"/>
      <c r="P106" s="1769"/>
      <c r="Q106" s="1769"/>
      <c r="R106" s="1769"/>
      <c r="S106" s="2051"/>
      <c r="T106" s="2089"/>
      <c r="U106" s="649"/>
      <c r="V106" s="649"/>
      <c r="W106" s="649"/>
      <c r="X106" s="657"/>
    </row>
    <row r="107" spans="1:24" ht="34.950000000000003" customHeight="1">
      <c r="A107" s="1767"/>
      <c r="B107" s="1769"/>
      <c r="C107" s="1957"/>
      <c r="D107" s="659" t="s">
        <v>668</v>
      </c>
      <c r="E107" s="734">
        <v>32</v>
      </c>
      <c r="F107" s="734">
        <v>2.6930000000000001</v>
      </c>
      <c r="G107" s="734">
        <v>2.6930000000000001</v>
      </c>
      <c r="H107" s="803">
        <f>G107/F107</f>
        <v>1</v>
      </c>
      <c r="I107" s="734">
        <f t="shared" ref="I107" si="41">SUM(I111,I115)</f>
        <v>21.6</v>
      </c>
      <c r="J107" s="1882"/>
      <c r="K107" s="1641"/>
      <c r="L107" s="1639"/>
      <c r="M107" s="1639"/>
      <c r="N107" s="1638"/>
      <c r="O107" s="1638"/>
      <c r="P107" s="1769"/>
      <c r="Q107" s="1769"/>
      <c r="R107" s="1769"/>
      <c r="S107" s="2051"/>
      <c r="T107" s="2089"/>
      <c r="U107" s="649"/>
      <c r="V107" s="649"/>
      <c r="W107" s="649"/>
      <c r="X107" s="1665" t="s">
        <v>3548</v>
      </c>
    </row>
    <row r="108" spans="1:24" ht="37.5" customHeight="1">
      <c r="A108" s="1803"/>
      <c r="B108" s="1736"/>
      <c r="C108" s="1737"/>
      <c r="D108" s="705" t="s">
        <v>1321</v>
      </c>
      <c r="E108" s="706">
        <f>SUM(E105:E107)</f>
        <v>32</v>
      </c>
      <c r="F108" s="706">
        <f t="shared" ref="F108:H108" si="42">SUM(F105:F107)</f>
        <v>2.6930000000000001</v>
      </c>
      <c r="G108" s="706">
        <f t="shared" si="42"/>
        <v>2.6930000000000001</v>
      </c>
      <c r="H108" s="707">
        <f t="shared" si="42"/>
        <v>1</v>
      </c>
      <c r="I108" s="706">
        <f>SUM(I105:I107)</f>
        <v>108</v>
      </c>
      <c r="J108" s="1702"/>
      <c r="K108" s="1700"/>
      <c r="L108" s="1646"/>
      <c r="M108" s="1646"/>
      <c r="N108" s="1639"/>
      <c r="O108" s="1639"/>
      <c r="P108" s="1736"/>
      <c r="Q108" s="1736"/>
      <c r="R108" s="1736"/>
      <c r="S108" s="2050"/>
      <c r="T108" s="2090"/>
      <c r="U108" s="649"/>
      <c r="V108" s="649"/>
      <c r="W108" s="649"/>
      <c r="X108" s="1671"/>
    </row>
    <row r="109" spans="1:24" s="1396" customFormat="1" ht="21" hidden="1" customHeight="1">
      <c r="A109" s="2143" t="s">
        <v>2352</v>
      </c>
      <c r="B109" s="2130" t="s">
        <v>2354</v>
      </c>
      <c r="C109" s="2128">
        <v>188711925</v>
      </c>
      <c r="D109" s="474" t="s">
        <v>341</v>
      </c>
      <c r="E109" s="475">
        <v>0</v>
      </c>
      <c r="F109" s="482"/>
      <c r="G109" s="482"/>
      <c r="H109" s="482"/>
      <c r="I109" s="475">
        <f>108*80%</f>
        <v>86.4</v>
      </c>
      <c r="J109" s="784"/>
      <c r="K109" s="2138" t="s">
        <v>2361</v>
      </c>
      <c r="L109" s="2136" t="s">
        <v>2356</v>
      </c>
      <c r="M109" s="2136" t="s">
        <v>2359</v>
      </c>
      <c r="N109" s="832"/>
      <c r="O109" s="832"/>
      <c r="P109" s="2141"/>
      <c r="Q109" s="2141"/>
      <c r="R109" s="2141"/>
      <c r="S109" s="833" t="s">
        <v>2360</v>
      </c>
      <c r="T109" s="832" t="s">
        <v>2359</v>
      </c>
      <c r="U109" s="831"/>
      <c r="V109" s="831"/>
      <c r="W109" s="831"/>
      <c r="X109" s="826"/>
    </row>
    <row r="110" spans="1:24" s="1396" customFormat="1" ht="21" hidden="1" customHeight="1">
      <c r="A110" s="2143"/>
      <c r="B110" s="2130"/>
      <c r="C110" s="2128"/>
      <c r="D110" s="474" t="s">
        <v>587</v>
      </c>
      <c r="E110" s="475"/>
      <c r="F110" s="482"/>
      <c r="G110" s="482"/>
      <c r="H110" s="482"/>
      <c r="I110" s="474"/>
      <c r="J110" s="784"/>
      <c r="K110" s="2139"/>
      <c r="L110" s="2136"/>
      <c r="M110" s="2136"/>
      <c r="N110" s="832"/>
      <c r="O110" s="832"/>
      <c r="P110" s="2141"/>
      <c r="Q110" s="2141"/>
      <c r="R110" s="2141"/>
      <c r="S110" s="833"/>
      <c r="T110" s="834"/>
      <c r="U110" s="831"/>
      <c r="V110" s="831"/>
      <c r="W110" s="831"/>
      <c r="X110" s="826"/>
    </row>
    <row r="111" spans="1:24" s="1396" customFormat="1" ht="21" hidden="1" customHeight="1">
      <c r="A111" s="2143"/>
      <c r="B111" s="2130"/>
      <c r="C111" s="2128"/>
      <c r="D111" s="474" t="s">
        <v>668</v>
      </c>
      <c r="E111" s="475"/>
      <c r="F111" s="482"/>
      <c r="G111" s="482"/>
      <c r="H111" s="482"/>
      <c r="I111" s="475">
        <f>108*20%</f>
        <v>21.6</v>
      </c>
      <c r="J111" s="784"/>
      <c r="K111" s="2139"/>
      <c r="L111" s="2136"/>
      <c r="M111" s="2136"/>
      <c r="N111" s="832"/>
      <c r="O111" s="832"/>
      <c r="P111" s="2141"/>
      <c r="Q111" s="2141"/>
      <c r="R111" s="2141"/>
      <c r="S111" s="833"/>
      <c r="T111" s="834"/>
      <c r="U111" s="831"/>
      <c r="V111" s="831"/>
      <c r="W111" s="831"/>
      <c r="X111" s="826"/>
    </row>
    <row r="112" spans="1:24" s="1396" customFormat="1" ht="21" hidden="1" customHeight="1">
      <c r="A112" s="2143"/>
      <c r="B112" s="2130"/>
      <c r="C112" s="2129"/>
      <c r="D112" s="1384" t="s">
        <v>1321</v>
      </c>
      <c r="E112" s="1351">
        <f>SUM(E109:E111)</f>
        <v>0</v>
      </c>
      <c r="F112" s="1385"/>
      <c r="G112" s="1385"/>
      <c r="H112" s="1385"/>
      <c r="I112" s="1351">
        <f t="shared" ref="I112" si="43">SUM(I109:I111)</f>
        <v>108</v>
      </c>
      <c r="J112" s="1386"/>
      <c r="K112" s="2140"/>
      <c r="L112" s="2137"/>
      <c r="M112" s="2137"/>
      <c r="N112" s="486"/>
      <c r="O112" s="486"/>
      <c r="P112" s="2142"/>
      <c r="Q112" s="2142"/>
      <c r="R112" s="2142"/>
      <c r="S112" s="834"/>
      <c r="T112" s="834"/>
      <c r="U112" s="831"/>
      <c r="V112" s="831"/>
      <c r="W112" s="831"/>
      <c r="X112" s="826"/>
    </row>
    <row r="113" spans="1:24" s="1396" customFormat="1" ht="21" hidden="1" customHeight="1">
      <c r="A113" s="2143" t="s">
        <v>2353</v>
      </c>
      <c r="B113" s="2130" t="s">
        <v>2321</v>
      </c>
      <c r="C113" s="2128" t="s">
        <v>1325</v>
      </c>
      <c r="D113" s="474" t="s">
        <v>341</v>
      </c>
      <c r="E113" s="475">
        <v>0</v>
      </c>
      <c r="F113" s="482"/>
      <c r="G113" s="482"/>
      <c r="H113" s="482"/>
      <c r="I113" s="475"/>
      <c r="J113" s="784"/>
      <c r="K113" s="2138" t="s">
        <v>2322</v>
      </c>
      <c r="L113" s="2136" t="s">
        <v>2357</v>
      </c>
      <c r="M113" s="2136" t="s">
        <v>2358</v>
      </c>
      <c r="N113" s="832"/>
      <c r="O113" s="832"/>
      <c r="P113" s="2141"/>
      <c r="Q113" s="2141"/>
      <c r="R113" s="2141" t="s">
        <v>469</v>
      </c>
      <c r="S113" s="833" t="s">
        <v>2360</v>
      </c>
      <c r="T113" s="832" t="s">
        <v>2359</v>
      </c>
      <c r="U113" s="831"/>
      <c r="V113" s="831"/>
      <c r="W113" s="831"/>
      <c r="X113" s="826"/>
    </row>
    <row r="114" spans="1:24" s="1396" customFormat="1" ht="21" hidden="1" customHeight="1">
      <c r="A114" s="2143"/>
      <c r="B114" s="2130"/>
      <c r="C114" s="2128"/>
      <c r="D114" s="474" t="s">
        <v>587</v>
      </c>
      <c r="E114" s="475"/>
      <c r="F114" s="482"/>
      <c r="G114" s="482"/>
      <c r="H114" s="482"/>
      <c r="I114" s="474"/>
      <c r="J114" s="784"/>
      <c r="K114" s="2139"/>
      <c r="L114" s="2136"/>
      <c r="M114" s="2136"/>
      <c r="N114" s="832"/>
      <c r="O114" s="832"/>
      <c r="P114" s="2141"/>
      <c r="Q114" s="2141"/>
      <c r="R114" s="2141"/>
      <c r="S114" s="833"/>
      <c r="T114" s="834"/>
      <c r="U114" s="831"/>
      <c r="V114" s="831"/>
      <c r="W114" s="831"/>
      <c r="X114" s="826"/>
    </row>
    <row r="115" spans="1:24" s="1396" customFormat="1" ht="21" hidden="1" customHeight="1">
      <c r="A115" s="2143"/>
      <c r="B115" s="2130"/>
      <c r="C115" s="2128"/>
      <c r="D115" s="474" t="s">
        <v>668</v>
      </c>
      <c r="E115" s="475"/>
      <c r="F115" s="482"/>
      <c r="G115" s="482"/>
      <c r="H115" s="482"/>
      <c r="I115" s="475"/>
      <c r="J115" s="784"/>
      <c r="K115" s="2139"/>
      <c r="L115" s="2136"/>
      <c r="M115" s="2136"/>
      <c r="N115" s="832"/>
      <c r="O115" s="832"/>
      <c r="P115" s="2141"/>
      <c r="Q115" s="2141"/>
      <c r="R115" s="2141"/>
      <c r="S115" s="833"/>
      <c r="T115" s="834"/>
      <c r="U115" s="831"/>
      <c r="V115" s="831"/>
      <c r="W115" s="831"/>
      <c r="X115" s="826"/>
    </row>
    <row r="116" spans="1:24" s="1396" customFormat="1" ht="21" hidden="1" customHeight="1">
      <c r="A116" s="2143"/>
      <c r="B116" s="2130"/>
      <c r="C116" s="2129"/>
      <c r="D116" s="1384" t="s">
        <v>1321</v>
      </c>
      <c r="E116" s="1351">
        <f>SUM(E113:E115)</f>
        <v>0</v>
      </c>
      <c r="F116" s="1385"/>
      <c r="G116" s="1385"/>
      <c r="H116" s="1385"/>
      <c r="I116" s="1351">
        <f t="shared" ref="I116" si="44">SUM(I113:I115)</f>
        <v>0</v>
      </c>
      <c r="J116" s="1386"/>
      <c r="K116" s="2140"/>
      <c r="L116" s="2137"/>
      <c r="M116" s="2137"/>
      <c r="N116" s="486"/>
      <c r="O116" s="486"/>
      <c r="P116" s="2142"/>
      <c r="Q116" s="2142"/>
      <c r="R116" s="2142"/>
      <c r="S116" s="834"/>
      <c r="T116" s="834"/>
      <c r="U116" s="831"/>
      <c r="V116" s="831"/>
      <c r="W116" s="831"/>
      <c r="X116" s="826"/>
    </row>
    <row r="117" spans="1:24" ht="50.5" customHeight="1">
      <c r="A117" s="1767" t="s">
        <v>2652</v>
      </c>
      <c r="B117" s="1769" t="s">
        <v>3794</v>
      </c>
      <c r="C117" s="1957" t="s">
        <v>1401</v>
      </c>
      <c r="D117" s="659" t="s">
        <v>66</v>
      </c>
      <c r="E117" s="734">
        <v>49.338999999999999</v>
      </c>
      <c r="F117" s="734">
        <v>50.548000000000002</v>
      </c>
      <c r="G117" s="734">
        <v>50.548000000000002</v>
      </c>
      <c r="H117" s="803">
        <f>G117/F117</f>
        <v>1</v>
      </c>
      <c r="I117" s="734">
        <f>300-30</f>
        <v>270</v>
      </c>
      <c r="J117" s="1701" t="s">
        <v>2281</v>
      </c>
      <c r="K117" s="1699" t="s">
        <v>3593</v>
      </c>
      <c r="L117" s="1639" t="s">
        <v>379</v>
      </c>
      <c r="M117" s="1639" t="s">
        <v>2997</v>
      </c>
      <c r="N117" s="1637" t="s">
        <v>613</v>
      </c>
      <c r="O117" s="1637" t="s">
        <v>613</v>
      </c>
      <c r="P117" s="1639" t="s">
        <v>613</v>
      </c>
      <c r="Q117" s="1639" t="s">
        <v>613</v>
      </c>
      <c r="R117" s="1639" t="s">
        <v>469</v>
      </c>
      <c r="S117" s="2049" t="s">
        <v>2362</v>
      </c>
      <c r="T117" s="2091"/>
      <c r="U117" s="649"/>
      <c r="V117" s="649"/>
      <c r="W117" s="649"/>
      <c r="X117" s="1665" t="s">
        <v>3626</v>
      </c>
    </row>
    <row r="118" spans="1:24" ht="36.75" customHeight="1">
      <c r="A118" s="1803"/>
      <c r="B118" s="1736"/>
      <c r="C118" s="1737"/>
      <c r="D118" s="705" t="s">
        <v>1321</v>
      </c>
      <c r="E118" s="706">
        <f>SUM(E117:E117)</f>
        <v>49.338999999999999</v>
      </c>
      <c r="F118" s="706">
        <f t="shared" ref="F118:G118" si="45">SUM(F117:F117)</f>
        <v>50.548000000000002</v>
      </c>
      <c r="G118" s="706">
        <f t="shared" si="45"/>
        <v>50.548000000000002</v>
      </c>
      <c r="H118" s="707">
        <f>G118/F118</f>
        <v>1</v>
      </c>
      <c r="I118" s="706">
        <f t="shared" ref="I118" si="46">SUM(I117:I117)</f>
        <v>270</v>
      </c>
      <c r="J118" s="1702"/>
      <c r="K118" s="1700"/>
      <c r="L118" s="1646"/>
      <c r="M118" s="1646"/>
      <c r="N118" s="1639"/>
      <c r="O118" s="1639"/>
      <c r="P118" s="1646"/>
      <c r="Q118" s="1646"/>
      <c r="R118" s="1646"/>
      <c r="S118" s="2050"/>
      <c r="T118" s="2090"/>
      <c r="U118" s="649"/>
      <c r="V118" s="649"/>
      <c r="W118" s="649"/>
      <c r="X118" s="1671"/>
    </row>
    <row r="119" spans="1:24" ht="30" customHeight="1">
      <c r="A119" s="1803" t="s">
        <v>2319</v>
      </c>
      <c r="B119" s="1889" t="s">
        <v>1491</v>
      </c>
      <c r="C119" s="1935">
        <v>188711925</v>
      </c>
      <c r="D119" s="926" t="s">
        <v>341</v>
      </c>
      <c r="E119" s="701"/>
      <c r="F119" s="810"/>
      <c r="G119" s="810"/>
      <c r="H119" s="810"/>
      <c r="I119" s="701">
        <f t="shared" ref="I119" si="47">I123</f>
        <v>0</v>
      </c>
      <c r="J119" s="1701" t="s">
        <v>2404</v>
      </c>
      <c r="K119" s="1640" t="s">
        <v>3795</v>
      </c>
      <c r="L119" s="1639" t="s">
        <v>483</v>
      </c>
      <c r="M119" s="1639" t="s">
        <v>1692</v>
      </c>
      <c r="N119" s="1637" t="s">
        <v>613</v>
      </c>
      <c r="O119" s="1637" t="s">
        <v>613</v>
      </c>
      <c r="P119" s="1639" t="s">
        <v>613</v>
      </c>
      <c r="Q119" s="1639" t="s">
        <v>612</v>
      </c>
      <c r="R119" s="1639" t="s">
        <v>612</v>
      </c>
      <c r="S119" s="2049" t="s">
        <v>2364</v>
      </c>
      <c r="T119" s="2091"/>
      <c r="U119" s="649"/>
      <c r="V119" s="649"/>
      <c r="W119" s="649"/>
      <c r="X119" s="1665" t="s">
        <v>3626</v>
      </c>
    </row>
    <row r="120" spans="1:24" ht="21" customHeight="1">
      <c r="A120" s="1803"/>
      <c r="B120" s="1889"/>
      <c r="C120" s="1935"/>
      <c r="D120" s="1387" t="s">
        <v>587</v>
      </c>
      <c r="E120" s="701"/>
      <c r="F120" s="810"/>
      <c r="G120" s="810"/>
      <c r="H120" s="810"/>
      <c r="I120" s="701"/>
      <c r="J120" s="1882"/>
      <c r="K120" s="1642"/>
      <c r="L120" s="1639"/>
      <c r="M120" s="1639"/>
      <c r="N120" s="1638"/>
      <c r="O120" s="1638"/>
      <c r="P120" s="1639"/>
      <c r="Q120" s="1639"/>
      <c r="R120" s="1639"/>
      <c r="S120" s="2051"/>
      <c r="T120" s="2089"/>
      <c r="U120" s="649"/>
      <c r="V120" s="649"/>
      <c r="W120" s="649"/>
      <c r="X120" s="1666"/>
    </row>
    <row r="121" spans="1:24" ht="19.2" customHeight="1">
      <c r="A121" s="1803"/>
      <c r="B121" s="1889"/>
      <c r="C121" s="1935"/>
      <c r="D121" s="1387" t="s">
        <v>668</v>
      </c>
      <c r="E121" s="701"/>
      <c r="F121" s="810"/>
      <c r="G121" s="810"/>
      <c r="H121" s="810"/>
      <c r="I121" s="701">
        <f t="shared" ref="I121" si="48">I125</f>
        <v>0</v>
      </c>
      <c r="J121" s="1882"/>
      <c r="K121" s="1642"/>
      <c r="L121" s="1639"/>
      <c r="M121" s="1639"/>
      <c r="N121" s="1638"/>
      <c r="O121" s="1638"/>
      <c r="P121" s="1639"/>
      <c r="Q121" s="1639"/>
      <c r="R121" s="1639"/>
      <c r="S121" s="2051"/>
      <c r="T121" s="2089"/>
      <c r="U121" s="649"/>
      <c r="V121" s="649"/>
      <c r="W121" s="649"/>
      <c r="X121" s="1666"/>
    </row>
    <row r="122" spans="1:24" ht="39.65" customHeight="1">
      <c r="A122" s="1803"/>
      <c r="B122" s="1889"/>
      <c r="C122" s="1935"/>
      <c r="D122" s="730" t="s">
        <v>1321</v>
      </c>
      <c r="E122" s="991"/>
      <c r="F122" s="1139"/>
      <c r="G122" s="1139"/>
      <c r="H122" s="1139"/>
      <c r="I122" s="991">
        <f t="shared" ref="I122" si="49">SUM(I119:I121)</f>
        <v>0</v>
      </c>
      <c r="J122" s="1702"/>
      <c r="K122" s="1708"/>
      <c r="L122" s="1646"/>
      <c r="M122" s="1646"/>
      <c r="N122" s="1639"/>
      <c r="O122" s="1639"/>
      <c r="P122" s="1646"/>
      <c r="Q122" s="1646"/>
      <c r="R122" s="1646"/>
      <c r="S122" s="2050"/>
      <c r="T122" s="2090"/>
      <c r="U122" s="649"/>
      <c r="V122" s="649"/>
      <c r="W122" s="649"/>
      <c r="X122" s="1671"/>
    </row>
    <row r="123" spans="1:24" s="1396" customFormat="1" ht="21" hidden="1" customHeight="1">
      <c r="A123" s="2123" t="s">
        <v>2318</v>
      </c>
      <c r="B123" s="2125" t="s">
        <v>2842</v>
      </c>
      <c r="C123" s="2126">
        <v>188711925</v>
      </c>
      <c r="D123" s="720" t="s">
        <v>341</v>
      </c>
      <c r="E123" s="464">
        <v>0</v>
      </c>
      <c r="F123" s="534"/>
      <c r="G123" s="534"/>
      <c r="H123" s="534"/>
      <c r="I123" s="464"/>
      <c r="J123" s="1379"/>
      <c r="K123" s="2148" t="s">
        <v>2843</v>
      </c>
      <c r="L123" s="1928" t="s">
        <v>1689</v>
      </c>
      <c r="M123" s="1928" t="s">
        <v>1692</v>
      </c>
      <c r="N123" s="835"/>
      <c r="O123" s="835"/>
      <c r="P123" s="2124"/>
      <c r="Q123" s="2124" t="s">
        <v>612</v>
      </c>
      <c r="R123" s="2124" t="s">
        <v>612</v>
      </c>
      <c r="S123" s="797" t="s">
        <v>2363</v>
      </c>
      <c r="T123" s="483" t="s">
        <v>2364</v>
      </c>
      <c r="U123" s="831"/>
      <c r="V123" s="831"/>
      <c r="W123" s="831"/>
      <c r="X123" s="826"/>
    </row>
    <row r="124" spans="1:24" s="1396" customFormat="1" ht="21" hidden="1" customHeight="1">
      <c r="A124" s="2123"/>
      <c r="B124" s="2125"/>
      <c r="C124" s="2126"/>
      <c r="D124" s="720" t="s">
        <v>587</v>
      </c>
      <c r="E124" s="464"/>
      <c r="F124" s="534"/>
      <c r="G124" s="534"/>
      <c r="H124" s="534"/>
      <c r="I124" s="720"/>
      <c r="J124" s="1196"/>
      <c r="K124" s="2149"/>
      <c r="L124" s="1928"/>
      <c r="M124" s="1928"/>
      <c r="N124" s="835"/>
      <c r="O124" s="835"/>
      <c r="P124" s="2124"/>
      <c r="Q124" s="2124"/>
      <c r="R124" s="2124"/>
      <c r="S124" s="797"/>
      <c r="T124" s="753"/>
      <c r="U124" s="831"/>
      <c r="V124" s="831"/>
      <c r="W124" s="831"/>
      <c r="X124" s="826"/>
    </row>
    <row r="125" spans="1:24" s="1396" customFormat="1" ht="21" hidden="1" customHeight="1">
      <c r="A125" s="2123"/>
      <c r="B125" s="2125"/>
      <c r="C125" s="2126"/>
      <c r="D125" s="720" t="s">
        <v>668</v>
      </c>
      <c r="E125" s="464"/>
      <c r="F125" s="534"/>
      <c r="G125" s="534"/>
      <c r="H125" s="534"/>
      <c r="I125" s="464"/>
      <c r="J125" s="713"/>
      <c r="K125" s="2149"/>
      <c r="L125" s="1928"/>
      <c r="M125" s="1928"/>
      <c r="N125" s="835"/>
      <c r="O125" s="835"/>
      <c r="P125" s="2124"/>
      <c r="Q125" s="2124"/>
      <c r="R125" s="2124"/>
      <c r="S125" s="797"/>
      <c r="T125" s="753"/>
      <c r="U125" s="831"/>
      <c r="V125" s="831"/>
      <c r="W125" s="831"/>
      <c r="X125" s="826"/>
    </row>
    <row r="126" spans="1:24" s="1396" customFormat="1" ht="21" hidden="1" customHeight="1">
      <c r="A126" s="2123"/>
      <c r="B126" s="2125"/>
      <c r="C126" s="2127"/>
      <c r="D126" s="1388" t="s">
        <v>1321</v>
      </c>
      <c r="E126" s="713">
        <f>SUM(E123:E125)</f>
        <v>0</v>
      </c>
      <c r="F126" s="1389"/>
      <c r="G126" s="1389"/>
      <c r="H126" s="1389"/>
      <c r="I126" s="713">
        <f t="shared" ref="I126" si="50">SUM(I123:I125)</f>
        <v>0</v>
      </c>
      <c r="J126" s="1390"/>
      <c r="K126" s="2133"/>
      <c r="L126" s="1929"/>
      <c r="M126" s="1929"/>
      <c r="N126" s="483"/>
      <c r="O126" s="483"/>
      <c r="P126" s="1817"/>
      <c r="Q126" s="1817"/>
      <c r="R126" s="1817"/>
      <c r="S126" s="753"/>
      <c r="T126" s="753"/>
      <c r="U126" s="831"/>
      <c r="V126" s="831"/>
      <c r="W126" s="831"/>
      <c r="X126" s="826"/>
    </row>
    <row r="127" spans="1:24" ht="25.2" customHeight="1">
      <c r="A127" s="1803" t="s">
        <v>2365</v>
      </c>
      <c r="B127" s="1889" t="s">
        <v>3797</v>
      </c>
      <c r="C127" s="1935">
        <v>188711925</v>
      </c>
      <c r="D127" s="926" t="s">
        <v>341</v>
      </c>
      <c r="E127" s="701">
        <f>SUM(E131)</f>
        <v>0</v>
      </c>
      <c r="F127" s="701"/>
      <c r="G127" s="701"/>
      <c r="H127" s="701"/>
      <c r="I127" s="701">
        <f t="shared" ref="I127" si="51">SUM(I131)</f>
        <v>0</v>
      </c>
      <c r="J127" s="1701" t="s">
        <v>2404</v>
      </c>
      <c r="K127" s="1640" t="s">
        <v>3796</v>
      </c>
      <c r="L127" s="1639" t="s">
        <v>404</v>
      </c>
      <c r="M127" s="1639" t="s">
        <v>2998</v>
      </c>
      <c r="N127" s="1637" t="s">
        <v>613</v>
      </c>
      <c r="O127" s="1637" t="s">
        <v>613</v>
      </c>
      <c r="P127" s="1639" t="s">
        <v>613</v>
      </c>
      <c r="Q127" s="1639" t="s">
        <v>613</v>
      </c>
      <c r="R127" s="1639" t="s">
        <v>613</v>
      </c>
      <c r="S127" s="2049" t="s">
        <v>2364</v>
      </c>
      <c r="T127" s="2091"/>
      <c r="U127" s="649"/>
      <c r="V127" s="649"/>
      <c r="W127" s="649"/>
      <c r="X127" s="1665" t="s">
        <v>3626</v>
      </c>
    </row>
    <row r="128" spans="1:24" ht="27" customHeight="1">
      <c r="A128" s="1803"/>
      <c r="B128" s="1889"/>
      <c r="C128" s="1935"/>
      <c r="D128" s="926" t="s">
        <v>587</v>
      </c>
      <c r="E128" s="701"/>
      <c r="F128" s="810"/>
      <c r="G128" s="810"/>
      <c r="H128" s="810"/>
      <c r="I128" s="701"/>
      <c r="J128" s="1882"/>
      <c r="K128" s="1642"/>
      <c r="L128" s="1639"/>
      <c r="M128" s="1639"/>
      <c r="N128" s="1638"/>
      <c r="O128" s="1638"/>
      <c r="P128" s="1639"/>
      <c r="Q128" s="1639"/>
      <c r="R128" s="1639"/>
      <c r="S128" s="2051"/>
      <c r="T128" s="2089"/>
      <c r="U128" s="649"/>
      <c r="V128" s="649"/>
      <c r="W128" s="649"/>
      <c r="X128" s="1666"/>
    </row>
    <row r="129" spans="1:24" ht="19.95" customHeight="1">
      <c r="A129" s="1803"/>
      <c r="B129" s="1889"/>
      <c r="C129" s="1935"/>
      <c r="D129" s="926" t="s">
        <v>668</v>
      </c>
      <c r="E129" s="701">
        <f>SUM(E133)</f>
        <v>0</v>
      </c>
      <c r="F129" s="701"/>
      <c r="G129" s="701"/>
      <c r="H129" s="701"/>
      <c r="I129" s="701">
        <f t="shared" ref="I129" si="52">SUM(I133)</f>
        <v>0</v>
      </c>
      <c r="J129" s="1882"/>
      <c r="K129" s="1642"/>
      <c r="L129" s="1639"/>
      <c r="M129" s="1639"/>
      <c r="N129" s="1638"/>
      <c r="O129" s="1638"/>
      <c r="P129" s="1639"/>
      <c r="Q129" s="1639"/>
      <c r="R129" s="1639"/>
      <c r="S129" s="2051"/>
      <c r="T129" s="2089"/>
      <c r="U129" s="649"/>
      <c r="V129" s="649"/>
      <c r="W129" s="649"/>
      <c r="X129" s="1666"/>
    </row>
    <row r="130" spans="1:24" ht="25.2" customHeight="1">
      <c r="A130" s="1803"/>
      <c r="B130" s="1889"/>
      <c r="C130" s="1935"/>
      <c r="D130" s="727" t="s">
        <v>1321</v>
      </c>
      <c r="E130" s="706">
        <f>SUM(E127:E129)</f>
        <v>0</v>
      </c>
      <c r="F130" s="1106"/>
      <c r="G130" s="1106"/>
      <c r="H130" s="1106"/>
      <c r="I130" s="706">
        <f t="shared" ref="I130" si="53">SUM(I127:I129)</f>
        <v>0</v>
      </c>
      <c r="J130" s="1702"/>
      <c r="K130" s="1708"/>
      <c r="L130" s="1646"/>
      <c r="M130" s="1637"/>
      <c r="N130" s="1639"/>
      <c r="O130" s="1639"/>
      <c r="P130" s="1637"/>
      <c r="Q130" s="1637"/>
      <c r="R130" s="1637"/>
      <c r="S130" s="2050"/>
      <c r="T130" s="2090"/>
      <c r="U130" s="649"/>
      <c r="V130" s="649"/>
      <c r="W130" s="649"/>
      <c r="X130" s="1671"/>
    </row>
    <row r="131" spans="1:24" s="1396" customFormat="1" ht="21" hidden="1" customHeight="1">
      <c r="A131" s="2123" t="s">
        <v>2320</v>
      </c>
      <c r="B131" s="2125" t="s">
        <v>2840</v>
      </c>
      <c r="C131" s="2126">
        <v>188711925</v>
      </c>
      <c r="D131" s="720" t="s">
        <v>341</v>
      </c>
      <c r="E131" s="464">
        <v>0</v>
      </c>
      <c r="F131" s="534"/>
      <c r="G131" s="534"/>
      <c r="H131" s="534"/>
      <c r="I131" s="464"/>
      <c r="J131" s="719"/>
      <c r="K131" s="2131" t="s">
        <v>2841</v>
      </c>
      <c r="L131" s="2146" t="s">
        <v>1689</v>
      </c>
      <c r="M131" s="837" t="s">
        <v>2370</v>
      </c>
      <c r="N131" s="837"/>
      <c r="O131" s="837"/>
      <c r="P131" s="755"/>
      <c r="Q131" s="755"/>
      <c r="R131" s="838" t="s">
        <v>2369</v>
      </c>
      <c r="S131" s="797" t="s">
        <v>2363</v>
      </c>
      <c r="T131" s="483" t="s">
        <v>2364</v>
      </c>
      <c r="U131" s="831"/>
      <c r="V131" s="831"/>
      <c r="W131" s="831"/>
      <c r="X131" s="826"/>
    </row>
    <row r="132" spans="1:24" s="1396" customFormat="1" ht="21" hidden="1" customHeight="1">
      <c r="A132" s="2123"/>
      <c r="B132" s="2125"/>
      <c r="C132" s="2126"/>
      <c r="D132" s="720" t="s">
        <v>587</v>
      </c>
      <c r="E132" s="464"/>
      <c r="F132" s="534"/>
      <c r="G132" s="534"/>
      <c r="H132" s="534"/>
      <c r="I132" s="720"/>
      <c r="J132" s="719"/>
      <c r="K132" s="2132"/>
      <c r="L132" s="2146"/>
      <c r="M132" s="839" t="s">
        <v>2367</v>
      </c>
      <c r="N132" s="839"/>
      <c r="O132" s="839"/>
      <c r="P132" s="484"/>
      <c r="Q132" s="484" t="s">
        <v>612</v>
      </c>
      <c r="R132" s="840" t="s">
        <v>612</v>
      </c>
      <c r="S132" s="841"/>
      <c r="T132" s="753"/>
      <c r="U132" s="831"/>
      <c r="V132" s="831"/>
      <c r="W132" s="831"/>
      <c r="X132" s="826"/>
    </row>
    <row r="133" spans="1:24" s="1396" customFormat="1" ht="49.2" hidden="1" customHeight="1">
      <c r="A133" s="2123"/>
      <c r="B133" s="2125"/>
      <c r="C133" s="2126"/>
      <c r="D133" s="720" t="s">
        <v>668</v>
      </c>
      <c r="E133" s="464"/>
      <c r="F133" s="534"/>
      <c r="G133" s="534"/>
      <c r="H133" s="534"/>
      <c r="I133" s="464"/>
      <c r="J133" s="719"/>
      <c r="K133" s="2132"/>
      <c r="L133" s="2146"/>
      <c r="M133" s="839" t="s">
        <v>2368</v>
      </c>
      <c r="N133" s="839"/>
      <c r="O133" s="839"/>
      <c r="P133" s="484"/>
      <c r="Q133" s="484" t="s">
        <v>469</v>
      </c>
      <c r="R133" s="840" t="s">
        <v>469</v>
      </c>
      <c r="S133" s="841"/>
      <c r="T133" s="753"/>
      <c r="U133" s="831"/>
      <c r="V133" s="831"/>
      <c r="W133" s="831"/>
      <c r="X133" s="826"/>
    </row>
    <row r="134" spans="1:24" s="1396" customFormat="1" ht="23.5" hidden="1" customHeight="1">
      <c r="A134" s="2123"/>
      <c r="B134" s="2125"/>
      <c r="C134" s="2127"/>
      <c r="D134" s="1388" t="s">
        <v>1321</v>
      </c>
      <c r="E134" s="713">
        <f>SUM(E131:E133)</f>
        <v>0</v>
      </c>
      <c r="F134" s="1389"/>
      <c r="G134" s="1389"/>
      <c r="H134" s="1389"/>
      <c r="I134" s="713">
        <f t="shared" ref="I134" si="54">SUM(I131:I133)</f>
        <v>0</v>
      </c>
      <c r="J134" s="1390"/>
      <c r="K134" s="2133"/>
      <c r="L134" s="2147"/>
      <c r="M134" s="836"/>
      <c r="N134" s="836"/>
      <c r="O134" s="836"/>
      <c r="P134" s="797"/>
      <c r="Q134" s="797"/>
      <c r="R134" s="841"/>
      <c r="S134" s="842"/>
      <c r="T134" s="753"/>
      <c r="U134" s="831"/>
      <c r="V134" s="831"/>
      <c r="W134" s="831"/>
      <c r="X134" s="826"/>
    </row>
    <row r="135" spans="1:24" ht="50.5" hidden="1" customHeight="1">
      <c r="A135" s="1803" t="s">
        <v>2122</v>
      </c>
      <c r="B135" s="1889" t="s">
        <v>1492</v>
      </c>
      <c r="C135" s="1935">
        <v>188711925</v>
      </c>
      <c r="D135" s="724" t="s">
        <v>668</v>
      </c>
      <c r="E135" s="701">
        <v>0</v>
      </c>
      <c r="F135" s="810"/>
      <c r="G135" s="810"/>
      <c r="H135" s="810"/>
      <c r="I135" s="701">
        <v>0</v>
      </c>
      <c r="J135" s="1701" t="s">
        <v>2405</v>
      </c>
      <c r="K135" s="1640" t="s">
        <v>1699</v>
      </c>
      <c r="L135" s="1639" t="s">
        <v>1690</v>
      </c>
      <c r="M135" s="1646" t="s">
        <v>2999</v>
      </c>
      <c r="N135" s="1637" t="s">
        <v>613</v>
      </c>
      <c r="O135" s="1637" t="s">
        <v>613</v>
      </c>
      <c r="P135" s="1646" t="s">
        <v>613</v>
      </c>
      <c r="Q135" s="1646" t="s">
        <v>612</v>
      </c>
      <c r="R135" s="1646" t="s">
        <v>612</v>
      </c>
      <c r="S135" s="1736" t="s">
        <v>2406</v>
      </c>
      <c r="T135" s="1736"/>
      <c r="U135" s="649"/>
      <c r="V135" s="649"/>
      <c r="W135" s="649"/>
      <c r="X135" s="657"/>
    </row>
    <row r="136" spans="1:24" ht="49.2" hidden="1" customHeight="1">
      <c r="A136" s="1803"/>
      <c r="B136" s="1890"/>
      <c r="C136" s="1936"/>
      <c r="D136" s="730" t="s">
        <v>1321</v>
      </c>
      <c r="E136" s="731">
        <f>E135</f>
        <v>0</v>
      </c>
      <c r="F136" s="1097"/>
      <c r="G136" s="1097"/>
      <c r="H136" s="1097"/>
      <c r="I136" s="731"/>
      <c r="J136" s="1702"/>
      <c r="K136" s="1708"/>
      <c r="L136" s="1646"/>
      <c r="M136" s="1646"/>
      <c r="N136" s="1639"/>
      <c r="O136" s="1639"/>
      <c r="P136" s="1646"/>
      <c r="Q136" s="1646"/>
      <c r="R136" s="1646"/>
      <c r="S136" s="1736"/>
      <c r="T136" s="1736"/>
      <c r="U136" s="649"/>
      <c r="V136" s="649"/>
      <c r="W136" s="649"/>
      <c r="X136" s="657"/>
    </row>
    <row r="137" spans="1:24" ht="33" customHeight="1">
      <c r="A137" s="1803" t="s">
        <v>2123</v>
      </c>
      <c r="B137" s="1791" t="s">
        <v>1493</v>
      </c>
      <c r="C137" s="1826">
        <v>188711925</v>
      </c>
      <c r="D137" s="724" t="s">
        <v>668</v>
      </c>
      <c r="E137" s="701">
        <v>0</v>
      </c>
      <c r="F137" s="810"/>
      <c r="G137" s="810"/>
      <c r="H137" s="810"/>
      <c r="I137" s="701"/>
      <c r="J137" s="1701"/>
      <c r="K137" s="1640" t="s">
        <v>2486</v>
      </c>
      <c r="L137" s="1639" t="s">
        <v>3438</v>
      </c>
      <c r="M137" s="1646" t="s">
        <v>3003</v>
      </c>
      <c r="N137" s="1646" t="s">
        <v>469</v>
      </c>
      <c r="O137" s="1646" t="s">
        <v>469</v>
      </c>
      <c r="P137" s="1769"/>
      <c r="Q137" s="1769"/>
      <c r="R137" s="1769"/>
      <c r="S137" s="2113"/>
      <c r="T137" s="2114"/>
      <c r="U137" s="649"/>
      <c r="V137" s="649"/>
      <c r="W137" s="649"/>
      <c r="X137" s="1665" t="s">
        <v>3548</v>
      </c>
    </row>
    <row r="138" spans="1:24" ht="30" customHeight="1">
      <c r="A138" s="1803"/>
      <c r="B138" s="1791"/>
      <c r="C138" s="1826"/>
      <c r="D138" s="724" t="s">
        <v>1349</v>
      </c>
      <c r="E138" s="701">
        <v>18.489000000000001</v>
      </c>
      <c r="F138" s="701">
        <v>14.726000000000001</v>
      </c>
      <c r="G138" s="701">
        <v>14.726000000000001</v>
      </c>
      <c r="H138" s="702">
        <f>G138/F138</f>
        <v>1</v>
      </c>
      <c r="I138" s="701"/>
      <c r="J138" s="1882"/>
      <c r="K138" s="1642"/>
      <c r="L138" s="1639"/>
      <c r="M138" s="1646"/>
      <c r="N138" s="1646"/>
      <c r="O138" s="1646"/>
      <c r="P138" s="1769"/>
      <c r="Q138" s="1769"/>
      <c r="R138" s="1769"/>
      <c r="S138" s="2170"/>
      <c r="T138" s="2171"/>
      <c r="U138" s="649"/>
      <c r="V138" s="649"/>
      <c r="W138" s="649"/>
      <c r="X138" s="1666"/>
    </row>
    <row r="139" spans="1:24" ht="27" customHeight="1">
      <c r="A139" s="1765"/>
      <c r="B139" s="1836"/>
      <c r="C139" s="1839"/>
      <c r="D139" s="730" t="s">
        <v>1321</v>
      </c>
      <c r="E139" s="731">
        <f>SUM(E137:E138)</f>
        <v>18.489000000000001</v>
      </c>
      <c r="F139" s="731">
        <f t="shared" ref="F139:G139" si="55">SUM(F137:F138)</f>
        <v>14.726000000000001</v>
      </c>
      <c r="G139" s="731">
        <f t="shared" si="55"/>
        <v>14.726000000000001</v>
      </c>
      <c r="H139" s="746">
        <f>G139/F139</f>
        <v>1</v>
      </c>
      <c r="I139" s="731"/>
      <c r="J139" s="1882"/>
      <c r="K139" s="1709"/>
      <c r="L139" s="1637"/>
      <c r="M139" s="1646"/>
      <c r="N139" s="1646"/>
      <c r="O139" s="1646"/>
      <c r="P139" s="1956"/>
      <c r="Q139" s="1956"/>
      <c r="R139" s="1956"/>
      <c r="S139" s="2170"/>
      <c r="T139" s="2171"/>
      <c r="U139" s="649"/>
      <c r="V139" s="649"/>
      <c r="W139" s="649"/>
      <c r="X139" s="1671"/>
    </row>
    <row r="140" spans="1:24" ht="39" customHeight="1">
      <c r="A140" s="1816" t="s">
        <v>2124</v>
      </c>
      <c r="B140" s="1757" t="s">
        <v>1494</v>
      </c>
      <c r="C140" s="1969">
        <v>188711925</v>
      </c>
      <c r="D140" s="657" t="s">
        <v>668</v>
      </c>
      <c r="E140" s="701">
        <v>53</v>
      </c>
      <c r="F140" s="701">
        <v>61.62</v>
      </c>
      <c r="G140" s="701">
        <v>61.62</v>
      </c>
      <c r="H140" s="702">
        <f>G140/F140</f>
        <v>1</v>
      </c>
      <c r="I140" s="701" t="e">
        <f>SUM(#REF!,#REF!,#REF!,#REF!,#REF!,#REF!,#REF!,#REF!)</f>
        <v>#REF!</v>
      </c>
      <c r="J140" s="1698" t="s">
        <v>2413</v>
      </c>
      <c r="K140" s="1699" t="s">
        <v>3798</v>
      </c>
      <c r="L140" s="1646" t="s">
        <v>3439</v>
      </c>
      <c r="M140" s="1646" t="s">
        <v>1693</v>
      </c>
      <c r="N140" s="1637" t="s">
        <v>469</v>
      </c>
      <c r="O140" s="1637" t="s">
        <v>566</v>
      </c>
      <c r="P140" s="1646"/>
      <c r="Q140" s="1646"/>
      <c r="R140" s="1646"/>
      <c r="S140" s="1646" t="s">
        <v>2414</v>
      </c>
      <c r="T140" s="1646"/>
      <c r="U140" s="649"/>
      <c r="V140" s="649"/>
      <c r="W140" s="649"/>
      <c r="X140" s="1665" t="s">
        <v>3548</v>
      </c>
    </row>
    <row r="141" spans="1:24" ht="80.5" customHeight="1">
      <c r="A141" s="1816"/>
      <c r="B141" s="1757"/>
      <c r="C141" s="1969"/>
      <c r="D141" s="705" t="s">
        <v>1321</v>
      </c>
      <c r="E141" s="706">
        <f>E140</f>
        <v>53</v>
      </c>
      <c r="F141" s="706">
        <f t="shared" ref="F141:H141" si="56">F140</f>
        <v>61.62</v>
      </c>
      <c r="G141" s="706">
        <f t="shared" si="56"/>
        <v>61.62</v>
      </c>
      <c r="H141" s="707">
        <f t="shared" si="56"/>
        <v>1</v>
      </c>
      <c r="I141" s="706" t="e">
        <f t="shared" ref="I141" si="57">I140</f>
        <v>#REF!</v>
      </c>
      <c r="J141" s="1698"/>
      <c r="K141" s="1700"/>
      <c r="L141" s="1646"/>
      <c r="M141" s="1646"/>
      <c r="N141" s="1639"/>
      <c r="O141" s="1639"/>
      <c r="P141" s="1646"/>
      <c r="Q141" s="1646"/>
      <c r="R141" s="1646"/>
      <c r="S141" s="1646"/>
      <c r="T141" s="1646"/>
      <c r="U141" s="649"/>
      <c r="V141" s="649"/>
      <c r="W141" s="649"/>
      <c r="X141" s="1671"/>
    </row>
    <row r="142" spans="1:24" ht="81" hidden="1" customHeight="1">
      <c r="A142" s="1816" t="s">
        <v>2125</v>
      </c>
      <c r="B142" s="1757" t="s">
        <v>1495</v>
      </c>
      <c r="C142" s="1969">
        <v>188711925</v>
      </c>
      <c r="D142" s="657" t="s">
        <v>668</v>
      </c>
      <c r="E142" s="701">
        <v>0</v>
      </c>
      <c r="F142" s="810"/>
      <c r="G142" s="810"/>
      <c r="H142" s="810"/>
      <c r="I142" s="701"/>
      <c r="J142" s="1698" t="s">
        <v>2407</v>
      </c>
      <c r="K142" s="1699" t="s">
        <v>1700</v>
      </c>
      <c r="L142" s="1646" t="s">
        <v>1691</v>
      </c>
      <c r="M142" s="1646" t="s">
        <v>1694</v>
      </c>
      <c r="N142" s="1637" t="s">
        <v>1568</v>
      </c>
      <c r="O142" s="1637"/>
      <c r="P142" s="1646" t="s">
        <v>612</v>
      </c>
      <c r="Q142" s="1646" t="s">
        <v>612</v>
      </c>
      <c r="R142" s="1646" t="s">
        <v>612</v>
      </c>
      <c r="S142" s="1646" t="s">
        <v>2371</v>
      </c>
      <c r="T142" s="1646"/>
      <c r="U142" s="649"/>
      <c r="V142" s="649"/>
      <c r="W142" s="649"/>
      <c r="X142" s="657"/>
    </row>
    <row r="143" spans="1:24" ht="95.25" hidden="1" customHeight="1">
      <c r="A143" s="1816"/>
      <c r="B143" s="1757"/>
      <c r="C143" s="1969"/>
      <c r="D143" s="705" t="s">
        <v>1321</v>
      </c>
      <c r="E143" s="706">
        <f>E142</f>
        <v>0</v>
      </c>
      <c r="F143" s="1106"/>
      <c r="G143" s="1106"/>
      <c r="H143" s="1106"/>
      <c r="I143" s="706">
        <f t="shared" ref="I143" si="58">I142</f>
        <v>0</v>
      </c>
      <c r="J143" s="1698"/>
      <c r="K143" s="1700"/>
      <c r="L143" s="1646"/>
      <c r="M143" s="1646"/>
      <c r="N143" s="1639"/>
      <c r="O143" s="1639"/>
      <c r="P143" s="1646"/>
      <c r="Q143" s="1646"/>
      <c r="R143" s="1646"/>
      <c r="S143" s="1646"/>
      <c r="T143" s="1646"/>
      <c r="U143" s="649"/>
      <c r="V143" s="649"/>
      <c r="W143" s="649"/>
      <c r="X143" s="657"/>
    </row>
    <row r="144" spans="1:24" s="1399" customFormat="1" ht="44.5" hidden="1" customHeight="1">
      <c r="A144" s="1767" t="s">
        <v>2757</v>
      </c>
      <c r="B144" s="1895" t="s">
        <v>2653</v>
      </c>
      <c r="C144" s="1937" t="s">
        <v>1401</v>
      </c>
      <c r="D144" s="923" t="s">
        <v>341</v>
      </c>
      <c r="E144" s="647"/>
      <c r="F144" s="822"/>
      <c r="G144" s="822"/>
      <c r="H144" s="822"/>
      <c r="I144" s="734">
        <v>2.375</v>
      </c>
      <c r="J144" s="1882" t="s">
        <v>2404</v>
      </c>
      <c r="K144" s="1642" t="s">
        <v>2326</v>
      </c>
      <c r="L144" s="1639" t="s">
        <v>1686</v>
      </c>
      <c r="M144" s="1639" t="s">
        <v>2349</v>
      </c>
      <c r="N144" s="526"/>
      <c r="O144" s="526"/>
      <c r="P144" s="1638" t="s">
        <v>613</v>
      </c>
      <c r="Q144" s="1638" t="s">
        <v>2350</v>
      </c>
      <c r="R144" s="1638" t="s">
        <v>613</v>
      </c>
      <c r="S144" s="2051" t="s">
        <v>2364</v>
      </c>
      <c r="T144" s="2089"/>
      <c r="U144" s="1397"/>
      <c r="V144" s="1397"/>
      <c r="W144" s="1397"/>
      <c r="X144" s="1398"/>
    </row>
    <row r="145" spans="1:24" s="1399" customFormat="1" ht="44.5" hidden="1" customHeight="1">
      <c r="A145" s="1803"/>
      <c r="B145" s="1890"/>
      <c r="C145" s="1936"/>
      <c r="D145" s="1387" t="s">
        <v>587</v>
      </c>
      <c r="E145" s="643"/>
      <c r="F145" s="646"/>
      <c r="G145" s="646"/>
      <c r="H145" s="646"/>
      <c r="I145" s="701"/>
      <c r="J145" s="1882"/>
      <c r="K145" s="1642"/>
      <c r="L145" s="1639"/>
      <c r="M145" s="2144"/>
      <c r="N145" s="1392"/>
      <c r="O145" s="1392"/>
      <c r="P145" s="1638"/>
      <c r="Q145" s="1638"/>
      <c r="R145" s="1638"/>
      <c r="S145" s="2051"/>
      <c r="T145" s="2089"/>
      <c r="U145" s="1400" t="s">
        <v>2615</v>
      </c>
      <c r="V145" s="1397"/>
      <c r="W145" s="1397"/>
      <c r="X145" s="1398"/>
    </row>
    <row r="146" spans="1:24" s="1399" customFormat="1" ht="43.95" hidden="1" customHeight="1">
      <c r="A146" s="1803"/>
      <c r="B146" s="1890"/>
      <c r="C146" s="1936"/>
      <c r="D146" s="1387" t="s">
        <v>2751</v>
      </c>
      <c r="E146" s="643"/>
      <c r="F146" s="646"/>
      <c r="G146" s="646"/>
      <c r="H146" s="646"/>
      <c r="I146" s="701">
        <v>284.88600000000002</v>
      </c>
      <c r="J146" s="1882"/>
      <c r="K146" s="1642"/>
      <c r="L146" s="1639"/>
      <c r="M146" s="2144"/>
      <c r="N146" s="1392"/>
      <c r="O146" s="1392"/>
      <c r="P146" s="1638"/>
      <c r="Q146" s="1638"/>
      <c r="R146" s="1638"/>
      <c r="S146" s="2051"/>
      <c r="T146" s="2089"/>
      <c r="U146" s="1397"/>
      <c r="V146" s="1397"/>
      <c r="W146" s="1397"/>
      <c r="X146" s="1398"/>
    </row>
    <row r="147" spans="1:24" s="1399" customFormat="1" ht="44.25" hidden="1" customHeight="1">
      <c r="A147" s="1803"/>
      <c r="B147" s="1890"/>
      <c r="C147" s="1936"/>
      <c r="D147" s="730" t="s">
        <v>1321</v>
      </c>
      <c r="E147" s="991"/>
      <c r="F147" s="1139"/>
      <c r="G147" s="1139"/>
      <c r="H147" s="1139"/>
      <c r="I147" s="991">
        <f>SUM(I144:I146)</f>
        <v>287.26100000000002</v>
      </c>
      <c r="J147" s="1702"/>
      <c r="K147" s="1708"/>
      <c r="L147" s="1646"/>
      <c r="M147" s="2145"/>
      <c r="N147" s="1391"/>
      <c r="O147" s="1391"/>
      <c r="P147" s="1639"/>
      <c r="Q147" s="1639"/>
      <c r="R147" s="1639"/>
      <c r="S147" s="2050"/>
      <c r="T147" s="2090"/>
      <c r="U147" s="1397"/>
      <c r="V147" s="1397"/>
      <c r="W147" s="1397"/>
      <c r="X147" s="1398"/>
    </row>
    <row r="148" spans="1:24" ht="48.75" customHeight="1">
      <c r="A148" s="501" t="s">
        <v>2135</v>
      </c>
      <c r="B148" s="496" t="s">
        <v>2410</v>
      </c>
      <c r="C148" s="501"/>
      <c r="D148" s="501"/>
      <c r="E148" s="502">
        <f>SUM(E151,E161,E163,E165)</f>
        <v>426.39</v>
      </c>
      <c r="F148" s="698"/>
      <c r="G148" s="698"/>
      <c r="H148" s="698"/>
      <c r="I148" s="502">
        <f>SUM(I151,I161,I163,I165)</f>
        <v>477.02</v>
      </c>
      <c r="J148" s="501"/>
      <c r="K148" s="1651"/>
      <c r="L148" s="1652"/>
      <c r="M148" s="1652"/>
      <c r="N148" s="1652"/>
      <c r="O148" s="1756"/>
      <c r="P148" s="501">
        <v>72</v>
      </c>
      <c r="Q148" s="501">
        <v>72</v>
      </c>
      <c r="R148" s="501">
        <v>72</v>
      </c>
      <c r="S148" s="2173" t="s">
        <v>2402</v>
      </c>
      <c r="T148" s="1756"/>
      <c r="U148" s="649"/>
      <c r="V148" s="649"/>
      <c r="W148" s="649"/>
      <c r="X148" s="1383"/>
    </row>
    <row r="149" spans="1:24" ht="40.200000000000003" customHeight="1">
      <c r="A149" s="1883" t="s">
        <v>2126</v>
      </c>
      <c r="B149" s="1911" t="s">
        <v>1496</v>
      </c>
      <c r="C149" s="1958">
        <v>188711925</v>
      </c>
      <c r="D149" s="659" t="s">
        <v>668</v>
      </c>
      <c r="E149" s="734">
        <f>SUM(E152,E154,E156)</f>
        <v>42.12</v>
      </c>
      <c r="F149" s="734">
        <f t="shared" ref="F149:G149" si="59">SUM(F152,F154,F156)</f>
        <v>42.12</v>
      </c>
      <c r="G149" s="734">
        <f t="shared" si="59"/>
        <v>42.12</v>
      </c>
      <c r="H149" s="803">
        <f>G149/F149</f>
        <v>1</v>
      </c>
      <c r="I149" s="734">
        <f>33</f>
        <v>33</v>
      </c>
      <c r="J149" s="1701" t="s">
        <v>2408</v>
      </c>
      <c r="K149" s="1640" t="s">
        <v>3435</v>
      </c>
      <c r="L149" s="1637" t="s">
        <v>467</v>
      </c>
      <c r="M149" s="1637" t="s">
        <v>3000</v>
      </c>
      <c r="N149" s="1637" t="s">
        <v>3001</v>
      </c>
      <c r="O149" s="1637" t="s">
        <v>3401</v>
      </c>
      <c r="P149" s="1637" t="s">
        <v>2373</v>
      </c>
      <c r="Q149" s="1637" t="s">
        <v>2374</v>
      </c>
      <c r="R149" s="1637" t="s">
        <v>2375</v>
      </c>
      <c r="S149" s="2049" t="s">
        <v>2372</v>
      </c>
      <c r="T149" s="2091"/>
      <c r="U149" s="649"/>
      <c r="V149" s="649"/>
      <c r="W149" s="649"/>
      <c r="X149" s="1665" t="s">
        <v>3548</v>
      </c>
    </row>
    <row r="150" spans="1:24" ht="33.65" hidden="1" customHeight="1">
      <c r="A150" s="1766"/>
      <c r="B150" s="1912"/>
      <c r="C150" s="1972"/>
      <c r="D150" s="659" t="s">
        <v>2751</v>
      </c>
      <c r="E150" s="734"/>
      <c r="F150" s="1114"/>
      <c r="G150" s="1114"/>
      <c r="H150" s="803"/>
      <c r="I150" s="734">
        <v>9.1199999999999992</v>
      </c>
      <c r="J150" s="1882"/>
      <c r="K150" s="1642"/>
      <c r="L150" s="1638"/>
      <c r="M150" s="1638"/>
      <c r="N150" s="1638"/>
      <c r="O150" s="1638"/>
      <c r="P150" s="1638"/>
      <c r="Q150" s="1638"/>
      <c r="R150" s="1638"/>
      <c r="S150" s="2051"/>
      <c r="T150" s="2089"/>
      <c r="U150" s="649"/>
      <c r="V150" s="649"/>
      <c r="W150" s="649"/>
      <c r="X150" s="1666"/>
    </row>
    <row r="151" spans="1:24" ht="72" customHeight="1">
      <c r="A151" s="1767"/>
      <c r="B151" s="2024"/>
      <c r="C151" s="1957"/>
      <c r="D151" s="705" t="s">
        <v>1321</v>
      </c>
      <c r="E151" s="706">
        <f>SUM(E149:E149)</f>
        <v>42.12</v>
      </c>
      <c r="F151" s="706">
        <f t="shared" ref="F151:G151" si="60">SUM(F149:F149)</f>
        <v>42.12</v>
      </c>
      <c r="G151" s="706">
        <f t="shared" si="60"/>
        <v>42.12</v>
      </c>
      <c r="H151" s="707">
        <f>G151/F151</f>
        <v>1</v>
      </c>
      <c r="I151" s="706">
        <f>I149+I150</f>
        <v>42.12</v>
      </c>
      <c r="J151" s="1702"/>
      <c r="K151" s="1641"/>
      <c r="L151" s="1639"/>
      <c r="M151" s="1639"/>
      <c r="N151" s="1639"/>
      <c r="O151" s="1639"/>
      <c r="P151" s="1639"/>
      <c r="Q151" s="1639"/>
      <c r="R151" s="1639"/>
      <c r="S151" s="2050"/>
      <c r="T151" s="2090"/>
      <c r="U151" s="649"/>
      <c r="V151" s="649"/>
      <c r="W151" s="649"/>
      <c r="X151" s="1671"/>
    </row>
    <row r="152" spans="1:24" s="1396" customFormat="1" ht="51" hidden="1" customHeight="1">
      <c r="A152" s="2122" t="s">
        <v>2323</v>
      </c>
      <c r="B152" s="1928" t="s">
        <v>2325</v>
      </c>
      <c r="C152" s="2134">
        <v>188711925</v>
      </c>
      <c r="D152" s="1393" t="s">
        <v>668</v>
      </c>
      <c r="E152" s="466">
        <v>33</v>
      </c>
      <c r="F152" s="535">
        <v>33</v>
      </c>
      <c r="G152" s="535">
        <v>33</v>
      </c>
      <c r="H152" s="535"/>
      <c r="I152" s="466">
        <v>33</v>
      </c>
      <c r="J152" s="713"/>
      <c r="K152" s="2121"/>
      <c r="L152" s="2124"/>
      <c r="M152" s="1928"/>
      <c r="N152" s="835"/>
      <c r="O152" s="835"/>
      <c r="P152" s="1928"/>
      <c r="Q152" s="1928"/>
      <c r="R152" s="1928"/>
      <c r="S152" s="484"/>
      <c r="T152" s="2172"/>
      <c r="U152" s="831"/>
      <c r="V152" s="831"/>
      <c r="W152" s="831"/>
      <c r="X152" s="826"/>
    </row>
    <row r="153" spans="1:24" s="1396" customFormat="1" ht="51" hidden="1" customHeight="1">
      <c r="A153" s="2123"/>
      <c r="B153" s="1929"/>
      <c r="C153" s="2135"/>
      <c r="D153" s="770" t="s">
        <v>1321</v>
      </c>
      <c r="E153" s="719">
        <f>SUM(E152:E152)</f>
        <v>33</v>
      </c>
      <c r="F153" s="719">
        <f t="shared" ref="F153:G153" si="61">SUM(F152:F152)</f>
        <v>33</v>
      </c>
      <c r="G153" s="719">
        <f t="shared" si="61"/>
        <v>33</v>
      </c>
      <c r="H153" s="974"/>
      <c r="I153" s="1394">
        <f t="shared" ref="I153" si="62">SUM(I152:I152)</f>
        <v>33</v>
      </c>
      <c r="J153" s="719"/>
      <c r="K153" s="1760"/>
      <c r="L153" s="1817"/>
      <c r="M153" s="1929"/>
      <c r="N153" s="483"/>
      <c r="O153" s="483"/>
      <c r="P153" s="1929"/>
      <c r="Q153" s="1929"/>
      <c r="R153" s="1929"/>
      <c r="S153" s="797"/>
      <c r="T153" s="2124"/>
      <c r="U153" s="831"/>
      <c r="V153" s="831"/>
      <c r="W153" s="831"/>
      <c r="X153" s="826"/>
    </row>
    <row r="154" spans="1:24" s="1396" customFormat="1" ht="51" hidden="1" customHeight="1">
      <c r="A154" s="2122" t="s">
        <v>2324</v>
      </c>
      <c r="B154" s="1928" t="s">
        <v>1675</v>
      </c>
      <c r="C154" s="2134">
        <v>188711925</v>
      </c>
      <c r="D154" s="1393" t="s">
        <v>668</v>
      </c>
      <c r="E154" s="466">
        <v>9.1199999999999992</v>
      </c>
      <c r="F154" s="466">
        <v>9.1199999999999992</v>
      </c>
      <c r="G154" s="466">
        <v>9.1199999999999992</v>
      </c>
      <c r="H154" s="535"/>
      <c r="I154" s="466">
        <v>9.1199999999999992</v>
      </c>
      <c r="J154" s="713"/>
      <c r="K154" s="2121"/>
      <c r="L154" s="2124"/>
      <c r="M154" s="1928"/>
      <c r="N154" s="835"/>
      <c r="O154" s="835"/>
      <c r="P154" s="1928"/>
      <c r="Q154" s="1928"/>
      <c r="R154" s="1928"/>
      <c r="S154" s="484"/>
      <c r="T154" s="2172"/>
      <c r="U154" s="831"/>
      <c r="V154" s="831"/>
      <c r="W154" s="831"/>
      <c r="X154" s="826"/>
    </row>
    <row r="155" spans="1:24" s="1396" customFormat="1" ht="51" hidden="1" customHeight="1">
      <c r="A155" s="2123"/>
      <c r="B155" s="1929"/>
      <c r="C155" s="2135"/>
      <c r="D155" s="770" t="s">
        <v>1321</v>
      </c>
      <c r="E155" s="719">
        <f>SUM(E154:E154)</f>
        <v>9.1199999999999992</v>
      </c>
      <c r="F155" s="719">
        <f t="shared" ref="F155:G155" si="63">SUM(F154:F154)</f>
        <v>9.1199999999999992</v>
      </c>
      <c r="G155" s="719">
        <f t="shared" si="63"/>
        <v>9.1199999999999992</v>
      </c>
      <c r="H155" s="974"/>
      <c r="I155" s="1394">
        <f t="shared" ref="I155" si="64">SUM(I154:I154)</f>
        <v>9.1199999999999992</v>
      </c>
      <c r="J155" s="719"/>
      <c r="K155" s="1760"/>
      <c r="L155" s="1817"/>
      <c r="M155" s="1929"/>
      <c r="N155" s="483"/>
      <c r="O155" s="483"/>
      <c r="P155" s="1929"/>
      <c r="Q155" s="1929"/>
      <c r="R155" s="1929"/>
      <c r="S155" s="797"/>
      <c r="T155" s="2124"/>
      <c r="U155" s="831"/>
      <c r="V155" s="831"/>
      <c r="W155" s="831"/>
      <c r="X155" s="826"/>
    </row>
    <row r="156" spans="1:24" s="1396" customFormat="1" ht="51" hidden="1" customHeight="1">
      <c r="A156" s="2122" t="s">
        <v>2328</v>
      </c>
      <c r="B156" s="1928" t="s">
        <v>1479</v>
      </c>
      <c r="C156" s="2134">
        <v>188711925</v>
      </c>
      <c r="D156" s="1393" t="s">
        <v>668</v>
      </c>
      <c r="E156" s="466">
        <v>0</v>
      </c>
      <c r="F156" s="535"/>
      <c r="G156" s="535"/>
      <c r="H156" s="535"/>
      <c r="I156" s="466">
        <v>0</v>
      </c>
      <c r="J156" s="713"/>
      <c r="K156" s="2121" t="s">
        <v>1697</v>
      </c>
      <c r="L156" s="1928" t="s">
        <v>1335</v>
      </c>
      <c r="M156" s="1928"/>
      <c r="N156" s="835"/>
      <c r="O156" s="835"/>
      <c r="P156" s="1928"/>
      <c r="Q156" s="1928"/>
      <c r="R156" s="1928"/>
      <c r="S156" s="484"/>
      <c r="T156" s="2172"/>
      <c r="U156" s="831"/>
      <c r="V156" s="831"/>
      <c r="W156" s="831"/>
      <c r="X156" s="826"/>
    </row>
    <row r="157" spans="1:24" s="1396" customFormat="1" ht="0.65" hidden="1" customHeight="1">
      <c r="A157" s="2123"/>
      <c r="B157" s="1929"/>
      <c r="C157" s="2135"/>
      <c r="D157" s="770" t="s">
        <v>1321</v>
      </c>
      <c r="E157" s="719">
        <f>SUM(E156:E156)</f>
        <v>0</v>
      </c>
      <c r="F157" s="974"/>
      <c r="G157" s="974"/>
      <c r="H157" s="974"/>
      <c r="I157" s="719">
        <f t="shared" ref="I157" si="65">SUM(I156:I156)</f>
        <v>0</v>
      </c>
      <c r="J157" s="719"/>
      <c r="K157" s="1760"/>
      <c r="L157" s="1929"/>
      <c r="M157" s="1929"/>
      <c r="N157" s="483"/>
      <c r="O157" s="483"/>
      <c r="P157" s="1929"/>
      <c r="Q157" s="1929"/>
      <c r="R157" s="1929"/>
      <c r="S157" s="797"/>
      <c r="T157" s="2124"/>
      <c r="U157" s="831"/>
      <c r="V157" s="831"/>
      <c r="W157" s="831"/>
      <c r="X157" s="826"/>
    </row>
    <row r="158" spans="1:24" ht="32.5" customHeight="1">
      <c r="A158" s="1767" t="s">
        <v>2127</v>
      </c>
      <c r="B158" s="1769" t="s">
        <v>3800</v>
      </c>
      <c r="C158" s="1957" t="s">
        <v>2654</v>
      </c>
      <c r="D158" s="659" t="s">
        <v>668</v>
      </c>
      <c r="E158" s="734">
        <v>256.83</v>
      </c>
      <c r="F158" s="734">
        <v>221.64699999999999</v>
      </c>
      <c r="G158" s="734">
        <v>148.36099999999999</v>
      </c>
      <c r="H158" s="803">
        <f>G158/F158</f>
        <v>0.6693571309334212</v>
      </c>
      <c r="I158" s="734">
        <f>213.8-0.6</f>
        <v>213.20000000000002</v>
      </c>
      <c r="J158" s="1701" t="s">
        <v>1309</v>
      </c>
      <c r="K158" s="1699" t="s">
        <v>1701</v>
      </c>
      <c r="L158" s="1639" t="s">
        <v>468</v>
      </c>
      <c r="M158" s="1639" t="s">
        <v>3002</v>
      </c>
      <c r="N158" s="1637" t="s">
        <v>1604</v>
      </c>
      <c r="O158" s="1637" t="s">
        <v>3391</v>
      </c>
      <c r="P158" s="1639" t="s">
        <v>469</v>
      </c>
      <c r="Q158" s="1639" t="s">
        <v>613</v>
      </c>
      <c r="R158" s="1639" t="s">
        <v>613</v>
      </c>
      <c r="S158" s="2113" t="s">
        <v>1092</v>
      </c>
      <c r="T158" s="2114"/>
      <c r="U158" s="649"/>
      <c r="V158" s="649"/>
      <c r="W158" s="649"/>
      <c r="X158" s="1665" t="s">
        <v>3548</v>
      </c>
    </row>
    <row r="159" spans="1:24" ht="22.95" customHeight="1">
      <c r="A159" s="1767"/>
      <c r="B159" s="1769"/>
      <c r="C159" s="1957"/>
      <c r="D159" s="659" t="s">
        <v>1549</v>
      </c>
      <c r="E159" s="734">
        <v>104.61</v>
      </c>
      <c r="F159" s="734">
        <v>134.83000000000001</v>
      </c>
      <c r="G159" s="734">
        <v>136.137</v>
      </c>
      <c r="H159" s="803">
        <f t="shared" ref="H159:H160" si="66">G159/F159</f>
        <v>1.0096936883482903</v>
      </c>
      <c r="I159" s="734">
        <v>131.69999999999999</v>
      </c>
      <c r="J159" s="1882"/>
      <c r="K159" s="1699"/>
      <c r="L159" s="1639"/>
      <c r="M159" s="1639"/>
      <c r="N159" s="1638"/>
      <c r="O159" s="1638"/>
      <c r="P159" s="1639"/>
      <c r="Q159" s="1639"/>
      <c r="R159" s="1639"/>
      <c r="S159" s="2170"/>
      <c r="T159" s="2171"/>
      <c r="U159" s="649"/>
      <c r="V159" s="649"/>
      <c r="W159" s="649"/>
      <c r="X159" s="1666"/>
    </row>
    <row r="160" spans="1:24" ht="25.2" customHeight="1">
      <c r="A160" s="1767"/>
      <c r="B160" s="1769"/>
      <c r="C160" s="1957"/>
      <c r="D160" s="659" t="s">
        <v>1349</v>
      </c>
      <c r="E160" s="734"/>
      <c r="F160" s="734">
        <v>27.33</v>
      </c>
      <c r="G160" s="734">
        <v>27.33</v>
      </c>
      <c r="H160" s="803">
        <f t="shared" si="66"/>
        <v>1</v>
      </c>
      <c r="I160" s="734"/>
      <c r="J160" s="1882"/>
      <c r="K160" s="1699"/>
      <c r="L160" s="1639"/>
      <c r="M160" s="1639"/>
      <c r="N160" s="1638"/>
      <c r="O160" s="1638"/>
      <c r="P160" s="1639"/>
      <c r="Q160" s="1639"/>
      <c r="R160" s="1639"/>
      <c r="S160" s="2170"/>
      <c r="T160" s="2171"/>
      <c r="U160" s="649"/>
      <c r="V160" s="649"/>
      <c r="W160" s="649"/>
      <c r="X160" s="1666"/>
    </row>
    <row r="161" spans="1:24" ht="20.5" customHeight="1">
      <c r="A161" s="1803"/>
      <c r="B161" s="1736"/>
      <c r="C161" s="1737"/>
      <c r="D161" s="705" t="s">
        <v>1321</v>
      </c>
      <c r="E161" s="706">
        <f>SUM(E158:E160)</f>
        <v>361.44</v>
      </c>
      <c r="F161" s="706">
        <f>SUM(F158:F160)</f>
        <v>383.80699999999996</v>
      </c>
      <c r="G161" s="706">
        <f t="shared" ref="G161" si="67">SUM(G158:G160)</f>
        <v>311.82799999999997</v>
      </c>
      <c r="H161" s="996">
        <f>G161/F161</f>
        <v>0.81246042933036655</v>
      </c>
      <c r="I161" s="706">
        <f>SUM(I158:I160)</f>
        <v>344.9</v>
      </c>
      <c r="J161" s="1882"/>
      <c r="K161" s="1700"/>
      <c r="L161" s="1646"/>
      <c r="M161" s="1646"/>
      <c r="N161" s="1639"/>
      <c r="O161" s="1639"/>
      <c r="P161" s="1646"/>
      <c r="Q161" s="1646"/>
      <c r="R161" s="1646"/>
      <c r="S161" s="2170"/>
      <c r="T161" s="2171"/>
      <c r="U161" s="649"/>
      <c r="V161" s="649"/>
      <c r="W161" s="649"/>
      <c r="X161" s="1671"/>
    </row>
    <row r="162" spans="1:24" s="1396" customFormat="1" ht="31.95" customHeight="1">
      <c r="A162" s="1803" t="s">
        <v>2128</v>
      </c>
      <c r="B162" s="1889" t="s">
        <v>3799</v>
      </c>
      <c r="C162" s="1935">
        <v>188711925</v>
      </c>
      <c r="D162" s="724" t="s">
        <v>668</v>
      </c>
      <c r="E162" s="701">
        <v>3.53</v>
      </c>
      <c r="F162" s="701">
        <v>2.3210000000000002</v>
      </c>
      <c r="G162" s="701">
        <v>0.40400000000000003</v>
      </c>
      <c r="H162" s="702">
        <f>G162/F162</f>
        <v>0.17406290392072382</v>
      </c>
      <c r="I162" s="701"/>
      <c r="J162" s="1882"/>
      <c r="K162" s="1640" t="s">
        <v>2486</v>
      </c>
      <c r="L162" s="1639" t="s">
        <v>561</v>
      </c>
      <c r="M162" s="1639" t="s">
        <v>80</v>
      </c>
      <c r="N162" s="1637" t="s">
        <v>1598</v>
      </c>
      <c r="O162" s="1637" t="s">
        <v>1598</v>
      </c>
      <c r="P162" s="1639" t="s">
        <v>1598</v>
      </c>
      <c r="Q162" s="1639" t="s">
        <v>613</v>
      </c>
      <c r="R162" s="1639" t="s">
        <v>613</v>
      </c>
      <c r="S162" s="2170"/>
      <c r="T162" s="2171"/>
      <c r="U162" s="831"/>
      <c r="V162" s="831"/>
      <c r="W162" s="831"/>
      <c r="X162" s="1665" t="s">
        <v>3548</v>
      </c>
    </row>
    <row r="163" spans="1:24" s="1396" customFormat="1" ht="25.2" customHeight="1">
      <c r="A163" s="1803"/>
      <c r="B163" s="1889"/>
      <c r="C163" s="1935"/>
      <c r="D163" s="727" t="s">
        <v>1321</v>
      </c>
      <c r="E163" s="706">
        <f>E162</f>
        <v>3.53</v>
      </c>
      <c r="F163" s="706">
        <f t="shared" ref="F163:H163" si="68">F162</f>
        <v>2.3210000000000002</v>
      </c>
      <c r="G163" s="706">
        <f t="shared" si="68"/>
        <v>0.40400000000000003</v>
      </c>
      <c r="H163" s="707">
        <f t="shared" si="68"/>
        <v>0.17406290392072382</v>
      </c>
      <c r="I163" s="706">
        <f t="shared" ref="I163" si="69">I162</f>
        <v>0</v>
      </c>
      <c r="J163" s="1882"/>
      <c r="K163" s="1708"/>
      <c r="L163" s="1646"/>
      <c r="M163" s="1646"/>
      <c r="N163" s="1639"/>
      <c r="O163" s="1639"/>
      <c r="P163" s="1646"/>
      <c r="Q163" s="1646"/>
      <c r="R163" s="1646"/>
      <c r="S163" s="2170"/>
      <c r="T163" s="2171"/>
      <c r="U163" s="831"/>
      <c r="V163" s="831"/>
      <c r="W163" s="831"/>
      <c r="X163" s="1671"/>
    </row>
    <row r="164" spans="1:24" ht="28.95" customHeight="1">
      <c r="A164" s="1803" t="s">
        <v>2129</v>
      </c>
      <c r="B164" s="1889" t="s">
        <v>1497</v>
      </c>
      <c r="C164" s="1935">
        <v>188711925</v>
      </c>
      <c r="D164" s="724" t="s">
        <v>668</v>
      </c>
      <c r="E164" s="701">
        <v>19.3</v>
      </c>
      <c r="F164" s="701">
        <v>10.68</v>
      </c>
      <c r="G164" s="701">
        <v>10.68</v>
      </c>
      <c r="H164" s="702">
        <f>G164/F164</f>
        <v>1</v>
      </c>
      <c r="I164" s="701">
        <f t="shared" ref="I164" si="70">SUM(I166,I167)</f>
        <v>90</v>
      </c>
      <c r="J164" s="1882"/>
      <c r="K164" s="1640" t="s">
        <v>3801</v>
      </c>
      <c r="L164" s="1639" t="s">
        <v>3440</v>
      </c>
      <c r="M164" s="1639" t="s">
        <v>1695</v>
      </c>
      <c r="N164" s="1637" t="s">
        <v>469</v>
      </c>
      <c r="O164" s="1637" t="s">
        <v>469</v>
      </c>
      <c r="P164" s="1637" t="s">
        <v>612</v>
      </c>
      <c r="Q164" s="1637" t="s">
        <v>612</v>
      </c>
      <c r="R164" s="1637" t="s">
        <v>612</v>
      </c>
      <c r="S164" s="2170"/>
      <c r="T164" s="2171"/>
      <c r="U164" s="649"/>
      <c r="V164" s="649"/>
      <c r="W164" s="649"/>
      <c r="X164" s="1665" t="s">
        <v>3548</v>
      </c>
    </row>
    <row r="165" spans="1:24" ht="25.2" customHeight="1">
      <c r="A165" s="1765"/>
      <c r="B165" s="1890"/>
      <c r="C165" s="1936"/>
      <c r="D165" s="730" t="s">
        <v>1321</v>
      </c>
      <c r="E165" s="731">
        <f>E164</f>
        <v>19.3</v>
      </c>
      <c r="F165" s="731">
        <f t="shared" ref="F165:H165" si="71">F164</f>
        <v>10.68</v>
      </c>
      <c r="G165" s="731">
        <f t="shared" si="71"/>
        <v>10.68</v>
      </c>
      <c r="H165" s="746">
        <f t="shared" si="71"/>
        <v>1</v>
      </c>
      <c r="I165" s="731">
        <f t="shared" ref="I165" si="72">I164</f>
        <v>90</v>
      </c>
      <c r="J165" s="1702"/>
      <c r="K165" s="1709"/>
      <c r="L165" s="1637"/>
      <c r="M165" s="1637"/>
      <c r="N165" s="1639"/>
      <c r="O165" s="1639"/>
      <c r="P165" s="1638"/>
      <c r="Q165" s="1638"/>
      <c r="R165" s="1638"/>
      <c r="S165" s="2115"/>
      <c r="T165" s="2116"/>
      <c r="U165" s="649"/>
      <c r="V165" s="649"/>
      <c r="W165" s="649"/>
      <c r="X165" s="1671"/>
    </row>
    <row r="166" spans="1:24" ht="43.95" hidden="1" customHeight="1">
      <c r="A166" s="1066"/>
      <c r="B166" s="1382" t="s">
        <v>2411</v>
      </c>
      <c r="C166" s="473"/>
      <c r="D166" s="1068"/>
      <c r="E166" s="784"/>
      <c r="F166" s="1069"/>
      <c r="G166" s="1069"/>
      <c r="H166" s="1069"/>
      <c r="I166" s="475">
        <v>50</v>
      </c>
      <c r="J166" s="784"/>
      <c r="K166" s="1549"/>
      <c r="L166" s="834"/>
      <c r="M166" s="486"/>
      <c r="N166" s="486"/>
      <c r="O166" s="486"/>
      <c r="P166" s="834"/>
      <c r="Q166" s="834"/>
      <c r="R166" s="834"/>
      <c r="S166" s="834"/>
      <c r="T166" s="834"/>
      <c r="U166" s="649"/>
      <c r="V166" s="649"/>
      <c r="W166" s="649"/>
      <c r="X166" s="657"/>
    </row>
    <row r="167" spans="1:24" ht="38.25" hidden="1" customHeight="1">
      <c r="A167" s="1066"/>
      <c r="B167" s="1382" t="s">
        <v>2412</v>
      </c>
      <c r="C167" s="473"/>
      <c r="D167" s="1068"/>
      <c r="E167" s="784"/>
      <c r="F167" s="1069"/>
      <c r="G167" s="1069"/>
      <c r="H167" s="1069"/>
      <c r="I167" s="475">
        <v>40</v>
      </c>
      <c r="J167" s="784"/>
      <c r="K167" s="1549"/>
      <c r="L167" s="834"/>
      <c r="M167" s="486"/>
      <c r="N167" s="486"/>
      <c r="O167" s="486"/>
      <c r="P167" s="834"/>
      <c r="Q167" s="834"/>
      <c r="R167" s="834"/>
      <c r="S167" s="834"/>
      <c r="T167" s="834"/>
      <c r="U167" s="649"/>
      <c r="V167" s="649"/>
      <c r="W167" s="649"/>
      <c r="X167" s="657"/>
    </row>
    <row r="168" spans="1:24" ht="52.95" customHeight="1">
      <c r="A168" s="501" t="s">
        <v>2137</v>
      </c>
      <c r="B168" s="496" t="s">
        <v>2136</v>
      </c>
      <c r="C168" s="501"/>
      <c r="D168" s="501"/>
      <c r="E168" s="502">
        <f>SUM(E170)</f>
        <v>12.5</v>
      </c>
      <c r="F168" s="502"/>
      <c r="G168" s="502"/>
      <c r="H168" s="698"/>
      <c r="I168" s="502">
        <f t="shared" ref="I168" si="73">SUM(I170)</f>
        <v>13.5</v>
      </c>
      <c r="J168" s="501" t="s">
        <v>2502</v>
      </c>
      <c r="K168" s="1651"/>
      <c r="L168" s="1652"/>
      <c r="M168" s="1652"/>
      <c r="N168" s="1652"/>
      <c r="O168" s="1756"/>
      <c r="P168" s="501">
        <v>0</v>
      </c>
      <c r="Q168" s="501">
        <v>0</v>
      </c>
      <c r="R168" s="501">
        <v>50</v>
      </c>
      <c r="S168" s="2000" t="s">
        <v>1057</v>
      </c>
      <c r="T168" s="2000"/>
      <c r="U168" s="649"/>
      <c r="V168" s="649"/>
      <c r="W168" s="649"/>
      <c r="X168" s="1383"/>
    </row>
    <row r="169" spans="1:24" ht="36.65" customHeight="1">
      <c r="A169" s="1767" t="s">
        <v>2138</v>
      </c>
      <c r="B169" s="1769" t="s">
        <v>1676</v>
      </c>
      <c r="C169" s="1957">
        <v>188711925</v>
      </c>
      <c r="D169" s="659" t="s">
        <v>66</v>
      </c>
      <c r="E169" s="734">
        <v>12.5</v>
      </c>
      <c r="F169" s="734"/>
      <c r="G169" s="734"/>
      <c r="H169" s="734"/>
      <c r="I169" s="734">
        <v>13.5</v>
      </c>
      <c r="J169" s="1701" t="s">
        <v>2409</v>
      </c>
      <c r="K169" s="1641" t="s">
        <v>3802</v>
      </c>
      <c r="L169" s="1639" t="s">
        <v>3441</v>
      </c>
      <c r="M169" s="1639" t="s">
        <v>1696</v>
      </c>
      <c r="N169" s="1637" t="s">
        <v>469</v>
      </c>
      <c r="O169" s="1637" t="s">
        <v>613</v>
      </c>
      <c r="P169" s="1639" t="s">
        <v>469</v>
      </c>
      <c r="Q169" s="1639" t="s">
        <v>613</v>
      </c>
      <c r="R169" s="1639" t="s">
        <v>613</v>
      </c>
      <c r="S169" s="1646" t="s">
        <v>1057</v>
      </c>
      <c r="T169" s="1646"/>
      <c r="U169" s="649"/>
      <c r="V169" s="649"/>
      <c r="W169" s="649"/>
      <c r="X169" s="1665" t="s">
        <v>3574</v>
      </c>
    </row>
    <row r="170" spans="1:24" ht="59.5" customHeight="1">
      <c r="A170" s="1803"/>
      <c r="B170" s="1736"/>
      <c r="C170" s="1737"/>
      <c r="D170" s="705" t="s">
        <v>1321</v>
      </c>
      <c r="E170" s="706">
        <f>SUM(E169:E169)</f>
        <v>12.5</v>
      </c>
      <c r="F170" s="706"/>
      <c r="G170" s="706"/>
      <c r="H170" s="706"/>
      <c r="I170" s="706">
        <f t="shared" ref="I170" si="74">SUM(I169:I169)</f>
        <v>13.5</v>
      </c>
      <c r="J170" s="1702"/>
      <c r="K170" s="1700"/>
      <c r="L170" s="1646"/>
      <c r="M170" s="1646"/>
      <c r="N170" s="1639"/>
      <c r="O170" s="1638"/>
      <c r="P170" s="1637"/>
      <c r="Q170" s="1637"/>
      <c r="R170" s="1637"/>
      <c r="S170" s="1637"/>
      <c r="T170" s="1637"/>
      <c r="U170" s="649"/>
      <c r="V170" s="649"/>
      <c r="W170" s="649"/>
      <c r="X170" s="1671"/>
    </row>
    <row r="171" spans="1:24" ht="68.25" customHeight="1">
      <c r="A171" s="1697"/>
      <c r="B171" s="1697"/>
      <c r="C171" s="1697"/>
      <c r="D171" s="1697"/>
      <c r="E171" s="640" t="s">
        <v>2857</v>
      </c>
      <c r="F171" s="640" t="s">
        <v>2874</v>
      </c>
      <c r="G171" s="640" t="s">
        <v>2858</v>
      </c>
      <c r="H171" s="640" t="s">
        <v>2859</v>
      </c>
      <c r="I171" s="807" t="str">
        <f>I14</f>
        <v>2024  m. asignavimai ir kitos lėšos, tūkst. Eur</v>
      </c>
      <c r="J171" s="1081"/>
      <c r="K171" s="1518"/>
      <c r="L171" s="1082"/>
      <c r="M171" s="1082"/>
      <c r="N171" s="1082"/>
      <c r="O171" s="1697"/>
      <c r="P171" s="1697"/>
      <c r="Q171" s="1697"/>
      <c r="R171" s="1697"/>
      <c r="S171" s="1697"/>
      <c r="T171" s="1697"/>
      <c r="U171" s="1697"/>
      <c r="V171" s="1697"/>
      <c r="W171" s="1697"/>
      <c r="X171" s="1697"/>
    </row>
    <row r="172" spans="1:24" ht="31.95" customHeight="1">
      <c r="A172" s="1691" t="s">
        <v>986</v>
      </c>
      <c r="B172" s="1691"/>
      <c r="C172" s="1691"/>
      <c r="D172" s="1691"/>
      <c r="E172" s="764">
        <f>E173+E174+E175+E176+E177+E178</f>
        <v>1038.306</v>
      </c>
      <c r="F172" s="729">
        <f t="shared" ref="F172:G172" si="75">F173+F174+F175+F176+F177+F178</f>
        <v>1047.5039999999999</v>
      </c>
      <c r="G172" s="729">
        <f t="shared" si="75"/>
        <v>910.9190000000001</v>
      </c>
      <c r="H172" s="1395">
        <f>G172/F172</f>
        <v>0.86960908979822527</v>
      </c>
      <c r="I172" s="729" t="e">
        <f>SUM(I173,I174,I175,I176,I177,I178,)</f>
        <v>#REF!</v>
      </c>
      <c r="J172" s="809"/>
      <c r="K172" s="1538"/>
      <c r="L172" s="1199"/>
      <c r="M172" s="1199"/>
      <c r="N172" s="1199"/>
      <c r="O172" s="478"/>
      <c r="P172" s="478"/>
      <c r="Q172" s="478"/>
      <c r="R172" s="478"/>
      <c r="S172" s="478"/>
      <c r="T172" s="478"/>
      <c r="U172" s="649"/>
      <c r="V172" s="649"/>
      <c r="W172" s="649"/>
      <c r="X172" s="649"/>
    </row>
    <row r="173" spans="1:24" ht="33.65" customHeight="1">
      <c r="A173" s="1692" t="s">
        <v>2867</v>
      </c>
      <c r="B173" s="1692"/>
      <c r="C173" s="1692"/>
      <c r="D173" s="1692"/>
      <c r="E173" s="872">
        <f>SUM(E19,E39,E49,E51,E62,E64,E67,E70,E76,E78,E80,E83,E85,E89,E91,E94,E96,E98,E102,E107,E117,E121,E129,E135,E140,E142,E146,E149,E158,E162,E164,E169,)</f>
        <v>739.74899999999991</v>
      </c>
      <c r="F173" s="701">
        <f>SUM(F19,F39,F49,F51,F62,F64,F67,F70,F76,F78,F80,F83,F85,F89,F91,F94,F96,F98,F102,F107,F117,F121,F129,F135,F140,F142,F146,F149,F158,F162,F164,F169,)</f>
        <v>688.08899999999994</v>
      </c>
      <c r="G173" s="701">
        <f>SUM(G19,G39,G49,G51,G62,G64,G67,G70,G76,G78,G80,G83,G85,G89,G91,G94,G96,G98,G102,G107,G117,G121,G129,G135,G140,G142,G146,G149,G158,G162,G164,G169,)</f>
        <v>558.58100000000002</v>
      </c>
      <c r="H173" s="1395">
        <f t="shared" ref="H173:H180" si="76">G173/F173</f>
        <v>0.81178597536074559</v>
      </c>
      <c r="I173" s="701" t="e">
        <f>SUM(I19,I39,I49,I51,I62,I64,I67,I70,I76,I78,I80,I83,I85,I89,I91,I96,I98,I121,I129,I135,I140,I142,I149,I158,I162,I164,)</f>
        <v>#REF!</v>
      </c>
      <c r="J173" s="742"/>
      <c r="K173" s="1504"/>
      <c r="L173" s="478"/>
      <c r="M173" s="478"/>
      <c r="N173" s="478"/>
      <c r="O173" s="478"/>
      <c r="P173" s="478"/>
      <c r="Q173" s="478"/>
      <c r="R173" s="478"/>
      <c r="S173" s="478"/>
      <c r="T173" s="478"/>
      <c r="U173" s="649"/>
      <c r="V173" s="649"/>
      <c r="W173" s="649"/>
      <c r="X173" s="649"/>
    </row>
    <row r="174" spans="1:24" ht="27" customHeight="1">
      <c r="A174" s="1692" t="s">
        <v>988</v>
      </c>
      <c r="B174" s="1692"/>
      <c r="C174" s="1692"/>
      <c r="D174" s="1692"/>
      <c r="E174" s="872">
        <f>SUM(E160,E138,E72,E65,)</f>
        <v>104.369</v>
      </c>
      <c r="F174" s="701">
        <f>SUM(F160,F138,F72,F65,)</f>
        <v>128.33699999999999</v>
      </c>
      <c r="G174" s="701">
        <f>SUM(G160,G138,G72,G65,)</f>
        <v>128.33699999999999</v>
      </c>
      <c r="H174" s="1395">
        <f t="shared" si="76"/>
        <v>1</v>
      </c>
      <c r="I174" s="701">
        <f>SUM(I160,I138,I72,I65,)</f>
        <v>86.06</v>
      </c>
      <c r="J174" s="742"/>
      <c r="K174" s="1504"/>
      <c r="L174" s="478"/>
      <c r="M174" s="478"/>
      <c r="N174" s="478"/>
      <c r="O174" s="478"/>
      <c r="P174" s="478"/>
      <c r="Q174" s="478"/>
      <c r="R174" s="478"/>
      <c r="S174" s="478"/>
      <c r="T174" s="478"/>
      <c r="U174" s="649"/>
      <c r="V174" s="649"/>
      <c r="W174" s="649"/>
      <c r="X174" s="649"/>
    </row>
    <row r="175" spans="1:24" ht="21" customHeight="1">
      <c r="A175" s="1692" t="s">
        <v>989</v>
      </c>
      <c r="B175" s="1692"/>
      <c r="C175" s="1692"/>
      <c r="D175" s="1692"/>
      <c r="E175" s="872">
        <f>E159</f>
        <v>104.61</v>
      </c>
      <c r="F175" s="701">
        <f t="shared" ref="F175:G175" si="77">F159</f>
        <v>134.83000000000001</v>
      </c>
      <c r="G175" s="701">
        <f t="shared" si="77"/>
        <v>136.137</v>
      </c>
      <c r="H175" s="1395">
        <f t="shared" si="76"/>
        <v>1.0096936883482903</v>
      </c>
      <c r="I175" s="701">
        <f>I159</f>
        <v>131.69999999999999</v>
      </c>
      <c r="J175" s="1295"/>
      <c r="K175" s="1504"/>
      <c r="L175" s="478"/>
      <c r="M175" s="478"/>
      <c r="N175" s="478"/>
      <c r="O175" s="478"/>
      <c r="P175" s="478"/>
      <c r="Q175" s="478"/>
      <c r="R175" s="478"/>
      <c r="S175" s="478"/>
      <c r="T175" s="478"/>
      <c r="U175" s="649"/>
      <c r="V175" s="649"/>
      <c r="W175" s="649"/>
      <c r="X175" s="649"/>
    </row>
    <row r="176" spans="1:24" ht="29.5" customHeight="1">
      <c r="A176" s="1692" t="s">
        <v>2695</v>
      </c>
      <c r="B176" s="1692"/>
      <c r="C176" s="1692"/>
      <c r="D176" s="1692"/>
      <c r="E176" s="872">
        <f>SUM(E71,)</f>
        <v>89.578000000000003</v>
      </c>
      <c r="F176" s="701">
        <f>SUM(F71,F100)</f>
        <v>96.24799999999999</v>
      </c>
      <c r="G176" s="701">
        <f>SUM(G71,G100)</f>
        <v>87.864000000000004</v>
      </c>
      <c r="H176" s="1395">
        <f t="shared" si="76"/>
        <v>0.91289169645083545</v>
      </c>
      <c r="I176" s="701">
        <f>SUM(I144,I131,I123,I113,I41,I21)</f>
        <v>2.375</v>
      </c>
      <c r="J176" s="742"/>
      <c r="K176" s="1504"/>
      <c r="L176" s="478"/>
      <c r="M176" s="478"/>
      <c r="N176" s="478"/>
      <c r="O176" s="478"/>
      <c r="P176" s="478"/>
      <c r="Q176" s="478"/>
      <c r="R176" s="478"/>
      <c r="S176" s="478"/>
      <c r="T176" s="478"/>
      <c r="U176" s="649"/>
      <c r="V176" s="649"/>
      <c r="W176" s="649"/>
      <c r="X176" s="649"/>
    </row>
    <row r="177" spans="1:24" ht="21" customHeight="1">
      <c r="A177" s="1692" t="s">
        <v>990</v>
      </c>
      <c r="B177" s="1692"/>
      <c r="C177" s="1692"/>
      <c r="D177" s="1692"/>
      <c r="E177" s="872">
        <v>0</v>
      </c>
      <c r="F177" s="701">
        <v>0</v>
      </c>
      <c r="G177" s="701">
        <v>0</v>
      </c>
      <c r="H177" s="1395"/>
      <c r="I177" s="701">
        <v>0</v>
      </c>
      <c r="J177" s="742"/>
      <c r="K177" s="1504"/>
      <c r="L177" s="478"/>
      <c r="M177" s="478"/>
      <c r="N177" s="478"/>
      <c r="O177" s="478"/>
      <c r="P177" s="478"/>
      <c r="Q177" s="478"/>
      <c r="R177" s="478"/>
      <c r="S177" s="478"/>
      <c r="T177" s="478"/>
      <c r="U177" s="649"/>
      <c r="V177" s="649"/>
      <c r="W177" s="649"/>
      <c r="X177" s="649"/>
    </row>
    <row r="178" spans="1:24" ht="21" hidden="1" customHeight="1">
      <c r="A178" s="1692" t="s">
        <v>991</v>
      </c>
      <c r="B178" s="1692"/>
      <c r="C178" s="1692"/>
      <c r="D178" s="1692"/>
      <c r="E178" s="872">
        <v>0</v>
      </c>
      <c r="F178" s="701">
        <v>0</v>
      </c>
      <c r="G178" s="701">
        <v>0</v>
      </c>
      <c r="H178" s="1395"/>
      <c r="I178" s="701">
        <f>SUM(I94,I102,I107,I117,I146,I169,I150,I68)</f>
        <v>918.69600000000003</v>
      </c>
      <c r="J178" s="1295"/>
      <c r="K178" s="1504"/>
      <c r="L178" s="478"/>
      <c r="M178" s="478"/>
      <c r="N178" s="478"/>
      <c r="O178" s="478"/>
      <c r="P178" s="478"/>
      <c r="Q178" s="478"/>
      <c r="R178" s="478"/>
      <c r="S178" s="478"/>
      <c r="T178" s="478"/>
      <c r="U178" s="649"/>
      <c r="V178" s="649"/>
      <c r="W178" s="649"/>
      <c r="X178" s="649"/>
    </row>
    <row r="179" spans="1:24" ht="36.65" customHeight="1">
      <c r="A179" s="1691" t="s">
        <v>992</v>
      </c>
      <c r="B179" s="1691"/>
      <c r="C179" s="1691"/>
      <c r="D179" s="1691"/>
      <c r="E179" s="1084">
        <v>51.494</v>
      </c>
      <c r="F179" s="1039"/>
      <c r="G179" s="1039"/>
      <c r="H179" s="1395"/>
      <c r="I179" s="1039">
        <f>SUM(I105,I100)</f>
        <v>94.785000000000011</v>
      </c>
      <c r="J179" s="742"/>
      <c r="K179" s="1504"/>
      <c r="L179" s="478"/>
      <c r="M179" s="478"/>
      <c r="N179" s="478"/>
      <c r="O179" s="478"/>
      <c r="P179" s="478"/>
      <c r="Q179" s="478"/>
      <c r="R179" s="478"/>
      <c r="S179" s="478"/>
      <c r="T179" s="478"/>
      <c r="U179" s="649"/>
      <c r="V179" s="649"/>
      <c r="W179" s="649"/>
      <c r="X179" s="649"/>
    </row>
    <row r="180" spans="1:24" ht="34.950000000000003" customHeight="1">
      <c r="A180" s="1691" t="s">
        <v>1334</v>
      </c>
      <c r="B180" s="1691"/>
      <c r="C180" s="1691"/>
      <c r="D180" s="1691"/>
      <c r="E180" s="1085">
        <f>E172+E179</f>
        <v>1089.8</v>
      </c>
      <c r="F180" s="703">
        <f t="shared" ref="F180:G180" si="78">F172+F179</f>
        <v>1047.5039999999999</v>
      </c>
      <c r="G180" s="703">
        <f t="shared" si="78"/>
        <v>910.9190000000001</v>
      </c>
      <c r="H180" s="1395">
        <f t="shared" si="76"/>
        <v>0.86960908979822527</v>
      </c>
      <c r="I180" s="703" t="e">
        <f>I172+I179</f>
        <v>#REF!</v>
      </c>
      <c r="J180" s="809"/>
      <c r="K180" s="1504"/>
      <c r="L180" s="478"/>
      <c r="M180" s="478"/>
      <c r="N180" s="478"/>
      <c r="O180" s="478"/>
      <c r="P180" s="478"/>
      <c r="Q180" s="478"/>
      <c r="R180" s="478"/>
      <c r="S180" s="478"/>
      <c r="T180" s="478"/>
      <c r="U180" s="649"/>
      <c r="V180" s="649"/>
      <c r="W180" s="649"/>
      <c r="X180" s="649"/>
    </row>
    <row r="181" spans="1:24" ht="21" hidden="1" customHeight="1">
      <c r="A181" s="1691" t="s">
        <v>1948</v>
      </c>
      <c r="B181" s="1691"/>
      <c r="C181" s="1691"/>
      <c r="D181" s="1691"/>
      <c r="E181" s="508">
        <v>0</v>
      </c>
      <c r="F181" s="432">
        <v>0</v>
      </c>
      <c r="G181" s="432">
        <v>0</v>
      </c>
      <c r="H181" s="455"/>
      <c r="I181" s="432">
        <f>SUM(I134,I126,I116,I44,I24)</f>
        <v>0</v>
      </c>
      <c r="J181" s="456"/>
      <c r="K181" s="1504"/>
      <c r="L181" s="437"/>
      <c r="M181" s="437"/>
      <c r="N181" s="437"/>
      <c r="O181" s="437"/>
      <c r="P181" s="457"/>
      <c r="Q181" s="457"/>
      <c r="R181" s="457"/>
      <c r="S181" s="437"/>
      <c r="T181" s="437"/>
    </row>
    <row r="182" spans="1:24" ht="28.5" hidden="1" customHeight="1">
      <c r="A182" s="1691" t="s">
        <v>993</v>
      </c>
      <c r="B182" s="1691"/>
      <c r="C182" s="1691"/>
      <c r="D182" s="1691"/>
      <c r="E182" s="508">
        <v>0</v>
      </c>
      <c r="F182" s="432">
        <v>0</v>
      </c>
      <c r="G182" s="432">
        <v>0</v>
      </c>
      <c r="H182" s="455"/>
      <c r="I182" s="458" t="e">
        <f>I180/E180-1</f>
        <v>#REF!</v>
      </c>
      <c r="J182" s="456"/>
      <c r="L182" s="437"/>
      <c r="M182" s="437"/>
      <c r="N182" s="437"/>
      <c r="O182" s="437"/>
      <c r="P182" s="457"/>
      <c r="Q182" s="457"/>
      <c r="R182" s="457"/>
      <c r="S182" s="437"/>
      <c r="T182" s="437"/>
    </row>
    <row r="183" spans="1:24" ht="21" customHeight="1">
      <c r="E183" s="374"/>
      <c r="F183" s="374"/>
      <c r="G183" s="374"/>
      <c r="H183" s="374"/>
    </row>
    <row r="184" spans="1:24" ht="21" hidden="1" customHeight="1">
      <c r="E184" s="374"/>
      <c r="F184" s="374"/>
      <c r="G184" s="374"/>
      <c r="H184" s="374"/>
      <c r="I184" s="374">
        <v>1824.096</v>
      </c>
    </row>
    <row r="185" spans="1:24" ht="21" hidden="1" customHeight="1">
      <c r="E185" s="374"/>
      <c r="F185" s="374"/>
      <c r="G185" s="374"/>
      <c r="H185" s="374"/>
      <c r="I185" s="389" t="e">
        <f>I184-I173-I175-I178</f>
        <v>#REF!</v>
      </c>
    </row>
    <row r="186" spans="1:24" ht="21" hidden="1" customHeight="1">
      <c r="B186" s="2055"/>
      <c r="C186" s="2055"/>
      <c r="D186" s="2055"/>
      <c r="E186" s="374"/>
      <c r="F186" s="374"/>
      <c r="G186" s="374"/>
      <c r="H186" s="374"/>
    </row>
    <row r="187" spans="1:24" ht="21" hidden="1" customHeight="1">
      <c r="E187" s="374"/>
      <c r="F187" s="1455">
        <v>822.91899999999998</v>
      </c>
      <c r="G187" s="1455">
        <v>694.71799999999996</v>
      </c>
      <c r="H187" s="1455"/>
    </row>
    <row r="188" spans="1:24" ht="21" hidden="1" customHeight="1">
      <c r="E188" s="374"/>
      <c r="F188" s="1455">
        <f>F187-F173-F175</f>
        <v>0</v>
      </c>
      <c r="G188" s="1456">
        <f>G187-G173-G175</f>
        <v>0</v>
      </c>
      <c r="H188" s="1455"/>
    </row>
    <row r="189" spans="1:24" ht="21" customHeight="1">
      <c r="E189" s="374"/>
      <c r="F189" s="1455"/>
      <c r="G189" s="1455"/>
      <c r="H189" s="1455"/>
    </row>
    <row r="190" spans="1:24" ht="21" customHeight="1">
      <c r="E190" s="374"/>
      <c r="F190" s="1455"/>
      <c r="G190" s="1455"/>
      <c r="H190" s="1455"/>
    </row>
    <row r="191" spans="1:24" ht="21" customHeight="1">
      <c r="E191" s="374"/>
      <c r="F191" s="1455"/>
      <c r="G191" s="1455"/>
      <c r="H191" s="1455"/>
    </row>
    <row r="192" spans="1:24" ht="21" customHeight="1">
      <c r="E192" s="374"/>
      <c r="F192" s="374"/>
      <c r="G192" s="374"/>
      <c r="H192" s="374"/>
    </row>
    <row r="193" spans="5:8" ht="21" customHeight="1">
      <c r="E193" s="374"/>
      <c r="F193" s="389"/>
      <c r="G193" s="389"/>
      <c r="H193" s="374"/>
    </row>
    <row r="194" spans="5:8" ht="21" customHeight="1">
      <c r="E194" s="374"/>
      <c r="F194" s="374"/>
      <c r="G194" s="374"/>
      <c r="H194" s="374"/>
    </row>
    <row r="195" spans="5:8" ht="21" customHeight="1">
      <c r="E195" s="374"/>
      <c r="F195" s="374"/>
      <c r="G195" s="374"/>
      <c r="H195" s="374"/>
    </row>
    <row r="196" spans="5:8" ht="21" customHeight="1">
      <c r="E196" s="374"/>
      <c r="F196" s="374"/>
      <c r="G196" s="374"/>
      <c r="H196" s="374"/>
    </row>
    <row r="197" spans="5:8" ht="21" customHeight="1">
      <c r="E197" s="374"/>
      <c r="F197" s="374"/>
      <c r="G197" s="374"/>
      <c r="H197" s="374"/>
    </row>
    <row r="198" spans="5:8" ht="21" customHeight="1">
      <c r="E198" s="374"/>
      <c r="F198" s="374"/>
      <c r="G198" s="374"/>
      <c r="H198" s="374"/>
    </row>
    <row r="199" spans="5:8" ht="21" customHeight="1">
      <c r="E199" s="374"/>
      <c r="F199" s="374"/>
      <c r="G199" s="374"/>
      <c r="H199" s="374"/>
    </row>
    <row r="200" spans="5:8" ht="21" customHeight="1">
      <c r="E200" s="374"/>
      <c r="F200" s="374"/>
      <c r="G200" s="374"/>
      <c r="H200" s="374"/>
    </row>
    <row r="201" spans="5:8" ht="21" customHeight="1">
      <c r="E201" s="374"/>
      <c r="F201" s="374"/>
      <c r="G201" s="374"/>
      <c r="H201" s="374"/>
    </row>
    <row r="202" spans="5:8" ht="21" customHeight="1">
      <c r="E202" s="374"/>
      <c r="F202" s="374"/>
      <c r="G202" s="374"/>
      <c r="H202" s="374"/>
    </row>
    <row r="203" spans="5:8" ht="21" customHeight="1">
      <c r="E203" s="374"/>
      <c r="F203" s="374"/>
      <c r="G203" s="374"/>
      <c r="H203" s="374"/>
    </row>
    <row r="204" spans="5:8" ht="21" customHeight="1">
      <c r="E204" s="374"/>
      <c r="F204" s="374"/>
      <c r="G204" s="374"/>
      <c r="H204" s="374"/>
    </row>
    <row r="205" spans="5:8" ht="21" customHeight="1">
      <c r="E205" s="374"/>
      <c r="F205" s="374"/>
      <c r="G205" s="374"/>
      <c r="H205" s="374"/>
    </row>
    <row r="206" spans="5:8" ht="21" customHeight="1">
      <c r="E206" s="374"/>
      <c r="F206" s="374"/>
      <c r="G206" s="374"/>
      <c r="H206" s="374"/>
    </row>
    <row r="207" spans="5:8" ht="21" customHeight="1">
      <c r="E207" s="374"/>
      <c r="F207" s="374"/>
      <c r="G207" s="374"/>
      <c r="H207" s="374"/>
    </row>
    <row r="208" spans="5:8" ht="21" customHeight="1">
      <c r="E208" s="374"/>
      <c r="F208" s="374"/>
      <c r="G208" s="374"/>
      <c r="H208" s="374"/>
    </row>
    <row r="209" spans="5:8" ht="21" customHeight="1">
      <c r="E209" s="374"/>
      <c r="F209" s="374"/>
      <c r="G209" s="374"/>
      <c r="H209" s="374"/>
    </row>
    <row r="210" spans="5:8" ht="21" customHeight="1">
      <c r="E210" s="374"/>
      <c r="F210" s="374"/>
      <c r="G210" s="374"/>
      <c r="H210" s="374"/>
    </row>
    <row r="211" spans="5:8" ht="21" customHeight="1">
      <c r="E211" s="374"/>
      <c r="F211" s="374"/>
      <c r="G211" s="374"/>
      <c r="H211" s="374"/>
    </row>
    <row r="212" spans="5:8" ht="21" customHeight="1">
      <c r="E212" s="374"/>
      <c r="F212" s="374"/>
      <c r="G212" s="374"/>
      <c r="H212" s="374"/>
    </row>
    <row r="213" spans="5:8" ht="21" customHeight="1">
      <c r="E213" s="374"/>
      <c r="F213" s="374"/>
      <c r="G213" s="374"/>
      <c r="H213" s="374"/>
    </row>
    <row r="214" spans="5:8" ht="21" customHeight="1">
      <c r="E214" s="374"/>
      <c r="F214" s="374"/>
      <c r="G214" s="374"/>
      <c r="H214" s="374"/>
    </row>
    <row r="215" spans="5:8" ht="21" customHeight="1">
      <c r="E215" s="374"/>
      <c r="F215" s="374"/>
      <c r="G215" s="374"/>
      <c r="H215" s="374"/>
    </row>
    <row r="216" spans="5:8" ht="21" customHeight="1">
      <c r="E216" s="374"/>
      <c r="F216" s="374"/>
      <c r="G216" s="374"/>
      <c r="H216" s="374"/>
    </row>
    <row r="217" spans="5:8" ht="21" customHeight="1">
      <c r="E217" s="374"/>
      <c r="F217" s="374"/>
      <c r="G217" s="374"/>
      <c r="H217" s="374"/>
    </row>
    <row r="218" spans="5:8" ht="21" customHeight="1">
      <c r="E218" s="374"/>
      <c r="F218" s="374"/>
      <c r="G218" s="374"/>
      <c r="H218" s="374"/>
    </row>
    <row r="219" spans="5:8" ht="21" customHeight="1">
      <c r="E219" s="374"/>
      <c r="F219" s="374"/>
      <c r="G219" s="374"/>
      <c r="H219" s="374"/>
    </row>
    <row r="220" spans="5:8" ht="21" customHeight="1">
      <c r="E220" s="374"/>
      <c r="F220" s="374"/>
      <c r="G220" s="374"/>
      <c r="H220" s="374"/>
    </row>
    <row r="221" spans="5:8" ht="21" customHeight="1">
      <c r="E221" s="374"/>
      <c r="F221" s="374"/>
      <c r="G221" s="374"/>
      <c r="H221" s="374"/>
    </row>
    <row r="222" spans="5:8" ht="21" customHeight="1">
      <c r="E222" s="374"/>
      <c r="F222" s="374"/>
      <c r="G222" s="374"/>
      <c r="H222" s="374"/>
    </row>
    <row r="223" spans="5:8" ht="21" customHeight="1">
      <c r="E223" s="374"/>
      <c r="F223" s="374"/>
      <c r="G223" s="374"/>
      <c r="H223" s="374"/>
    </row>
    <row r="224" spans="5:8" ht="21" customHeight="1">
      <c r="E224" s="374"/>
      <c r="F224" s="374"/>
      <c r="G224" s="374"/>
      <c r="H224" s="374"/>
    </row>
    <row r="225" spans="5:8" ht="21" customHeight="1">
      <c r="E225" s="374"/>
      <c r="F225" s="374"/>
      <c r="G225" s="374"/>
      <c r="H225" s="374"/>
    </row>
    <row r="226" spans="5:8" ht="21" customHeight="1">
      <c r="E226" s="374"/>
      <c r="F226" s="374"/>
      <c r="G226" s="374"/>
      <c r="H226" s="374"/>
    </row>
    <row r="227" spans="5:8" ht="21" customHeight="1">
      <c r="E227" s="374"/>
      <c r="F227" s="374"/>
      <c r="G227" s="374"/>
      <c r="H227" s="374"/>
    </row>
    <row r="228" spans="5:8" ht="21" customHeight="1">
      <c r="E228" s="374"/>
      <c r="F228" s="374"/>
      <c r="G228" s="374"/>
      <c r="H228" s="374"/>
    </row>
    <row r="229" spans="5:8" ht="21" customHeight="1">
      <c r="E229" s="374"/>
      <c r="F229" s="374"/>
      <c r="G229" s="374"/>
      <c r="H229" s="374"/>
    </row>
    <row r="230" spans="5:8" ht="21" customHeight="1">
      <c r="E230" s="374"/>
      <c r="F230" s="374"/>
      <c r="G230" s="374"/>
      <c r="H230" s="374"/>
    </row>
    <row r="231" spans="5:8" ht="21" customHeight="1">
      <c r="E231" s="374"/>
      <c r="F231" s="374"/>
      <c r="G231" s="374"/>
      <c r="H231" s="374"/>
    </row>
    <row r="232" spans="5:8" ht="21" customHeight="1">
      <c r="E232" s="374"/>
      <c r="F232" s="374"/>
      <c r="G232" s="374"/>
      <c r="H232" s="374"/>
    </row>
    <row r="233" spans="5:8" ht="21" customHeight="1">
      <c r="E233" s="374"/>
      <c r="F233" s="374"/>
      <c r="G233" s="374"/>
      <c r="H233" s="374"/>
    </row>
    <row r="234" spans="5:8" ht="21" customHeight="1">
      <c r="E234" s="374"/>
      <c r="F234" s="374"/>
      <c r="G234" s="374"/>
      <c r="H234" s="374"/>
    </row>
    <row r="235" spans="5:8" ht="21" customHeight="1">
      <c r="E235" s="374"/>
      <c r="F235" s="374"/>
      <c r="G235" s="374"/>
      <c r="H235" s="374"/>
    </row>
    <row r="236" spans="5:8" ht="21" customHeight="1">
      <c r="E236" s="374"/>
      <c r="F236" s="374"/>
      <c r="G236" s="374"/>
      <c r="H236" s="374"/>
    </row>
    <row r="237" spans="5:8" ht="21" customHeight="1">
      <c r="E237" s="374"/>
      <c r="F237" s="374"/>
      <c r="G237" s="374"/>
      <c r="H237" s="374"/>
    </row>
    <row r="238" spans="5:8" ht="21" customHeight="1">
      <c r="E238" s="374"/>
      <c r="F238" s="374"/>
      <c r="G238" s="374"/>
      <c r="H238" s="374"/>
    </row>
    <row r="239" spans="5:8" ht="21" customHeight="1">
      <c r="E239" s="374"/>
      <c r="F239" s="374"/>
      <c r="G239" s="374"/>
      <c r="H239" s="374"/>
    </row>
    <row r="240" spans="5:8" ht="21" customHeight="1">
      <c r="E240" s="374"/>
      <c r="F240" s="374"/>
      <c r="G240" s="374"/>
      <c r="H240" s="374"/>
    </row>
    <row r="241" spans="5:8" ht="21" customHeight="1">
      <c r="E241" s="374"/>
      <c r="F241" s="374"/>
      <c r="G241" s="374"/>
      <c r="H241" s="374"/>
    </row>
    <row r="242" spans="5:8" ht="21" customHeight="1">
      <c r="E242" s="374"/>
      <c r="F242" s="374"/>
      <c r="G242" s="374"/>
      <c r="H242" s="374"/>
    </row>
    <row r="243" spans="5:8" ht="21" customHeight="1">
      <c r="E243" s="374"/>
      <c r="F243" s="374"/>
      <c r="G243" s="374"/>
      <c r="H243" s="374"/>
    </row>
    <row r="244" spans="5:8" ht="21" customHeight="1">
      <c r="E244" s="374"/>
      <c r="F244" s="374"/>
      <c r="G244" s="374"/>
      <c r="H244" s="374"/>
    </row>
    <row r="245" spans="5:8" ht="21" customHeight="1">
      <c r="E245" s="374"/>
      <c r="F245" s="374"/>
      <c r="G245" s="374"/>
      <c r="H245" s="374"/>
    </row>
    <row r="246" spans="5:8" ht="21" customHeight="1">
      <c r="E246" s="374"/>
      <c r="F246" s="374"/>
      <c r="G246" s="374"/>
      <c r="H246" s="374"/>
    </row>
    <row r="247" spans="5:8" ht="21" customHeight="1">
      <c r="E247" s="374"/>
      <c r="F247" s="374"/>
      <c r="G247" s="374"/>
      <c r="H247" s="374"/>
    </row>
    <row r="248" spans="5:8" ht="21" customHeight="1">
      <c r="E248" s="374"/>
      <c r="F248" s="374"/>
      <c r="G248" s="374"/>
      <c r="H248" s="374"/>
    </row>
    <row r="249" spans="5:8" ht="21" customHeight="1">
      <c r="E249" s="374"/>
      <c r="F249" s="374"/>
      <c r="G249" s="374"/>
      <c r="H249" s="374"/>
    </row>
    <row r="250" spans="5:8" ht="21" customHeight="1">
      <c r="E250" s="374"/>
      <c r="F250" s="374"/>
      <c r="G250" s="374"/>
      <c r="H250" s="374"/>
    </row>
    <row r="251" spans="5:8" ht="21" customHeight="1">
      <c r="E251" s="374"/>
      <c r="F251" s="374"/>
      <c r="G251" s="374"/>
      <c r="H251" s="374"/>
    </row>
    <row r="252" spans="5:8" ht="21" customHeight="1">
      <c r="E252" s="374"/>
      <c r="F252" s="374"/>
      <c r="G252" s="374"/>
      <c r="H252" s="374"/>
    </row>
    <row r="253" spans="5:8" ht="21" customHeight="1">
      <c r="E253" s="374"/>
      <c r="F253" s="374"/>
      <c r="G253" s="374"/>
      <c r="H253" s="374"/>
    </row>
    <row r="254" spans="5:8" ht="21" customHeight="1">
      <c r="E254" s="374"/>
      <c r="F254" s="374"/>
      <c r="G254" s="374"/>
      <c r="H254" s="374"/>
    </row>
    <row r="255" spans="5:8" ht="21" customHeight="1">
      <c r="E255" s="374"/>
      <c r="F255" s="374"/>
      <c r="G255" s="374"/>
      <c r="H255" s="374"/>
    </row>
    <row r="256" spans="5:8" ht="21" customHeight="1">
      <c r="E256" s="374"/>
      <c r="F256" s="374"/>
      <c r="G256" s="374"/>
      <c r="H256" s="374"/>
    </row>
    <row r="257" spans="5:8" ht="21" customHeight="1">
      <c r="E257" s="374"/>
      <c r="F257" s="374"/>
      <c r="G257" s="374"/>
      <c r="H257" s="374"/>
    </row>
    <row r="258" spans="5:8" ht="21" customHeight="1">
      <c r="E258" s="374"/>
      <c r="F258" s="374"/>
      <c r="G258" s="374"/>
      <c r="H258" s="374"/>
    </row>
    <row r="259" spans="5:8" ht="21" customHeight="1">
      <c r="E259" s="374"/>
      <c r="F259" s="374"/>
      <c r="G259" s="374"/>
      <c r="H259" s="374"/>
    </row>
    <row r="260" spans="5:8" ht="21" customHeight="1">
      <c r="E260" s="374"/>
      <c r="F260" s="374"/>
      <c r="G260" s="374"/>
      <c r="H260" s="374"/>
    </row>
    <row r="261" spans="5:8" ht="21" customHeight="1">
      <c r="E261" s="374"/>
      <c r="F261" s="374"/>
      <c r="G261" s="374"/>
      <c r="H261" s="374"/>
    </row>
    <row r="262" spans="5:8" ht="21" customHeight="1">
      <c r="E262" s="374"/>
      <c r="F262" s="374"/>
      <c r="G262" s="374"/>
      <c r="H262" s="374"/>
    </row>
    <row r="263" spans="5:8" ht="21" customHeight="1">
      <c r="E263" s="374"/>
      <c r="F263" s="374"/>
      <c r="G263" s="374"/>
      <c r="H263" s="374"/>
    </row>
    <row r="264" spans="5:8" ht="21" customHeight="1">
      <c r="E264" s="374"/>
      <c r="F264" s="374"/>
      <c r="G264" s="374"/>
      <c r="H264" s="374"/>
    </row>
    <row r="265" spans="5:8" ht="21" customHeight="1">
      <c r="E265" s="374"/>
      <c r="F265" s="374"/>
      <c r="G265" s="374"/>
      <c r="H265" s="374"/>
    </row>
    <row r="266" spans="5:8" ht="21" customHeight="1">
      <c r="E266" s="374"/>
      <c r="F266" s="374"/>
      <c r="G266" s="374"/>
      <c r="H266" s="374"/>
    </row>
    <row r="267" spans="5:8" ht="21" customHeight="1">
      <c r="E267" s="374"/>
      <c r="F267" s="374"/>
      <c r="G267" s="374"/>
      <c r="H267" s="374"/>
    </row>
    <row r="268" spans="5:8" ht="21" customHeight="1">
      <c r="E268" s="374"/>
      <c r="F268" s="374"/>
      <c r="G268" s="374"/>
      <c r="H268" s="374"/>
    </row>
    <row r="269" spans="5:8" ht="21" customHeight="1">
      <c r="E269" s="374"/>
      <c r="F269" s="374"/>
      <c r="G269" s="374"/>
      <c r="H269" s="374"/>
    </row>
    <row r="270" spans="5:8" ht="21" customHeight="1">
      <c r="E270" s="374"/>
      <c r="F270" s="374"/>
      <c r="G270" s="374"/>
      <c r="H270" s="374"/>
    </row>
    <row r="271" spans="5:8" ht="21" customHeight="1">
      <c r="E271" s="374"/>
      <c r="F271" s="374"/>
      <c r="G271" s="374"/>
      <c r="H271" s="374"/>
    </row>
    <row r="272" spans="5:8" ht="21" customHeight="1">
      <c r="E272" s="374"/>
      <c r="F272" s="374"/>
      <c r="G272" s="374"/>
      <c r="H272" s="374"/>
    </row>
    <row r="273" spans="5:8" ht="21" customHeight="1">
      <c r="E273" s="374"/>
      <c r="F273" s="374"/>
      <c r="G273" s="374"/>
      <c r="H273" s="374"/>
    </row>
    <row r="274" spans="5:8" ht="21" customHeight="1">
      <c r="E274" s="374"/>
      <c r="F274" s="374"/>
      <c r="G274" s="374"/>
      <c r="H274" s="374"/>
    </row>
    <row r="275" spans="5:8" ht="21" customHeight="1">
      <c r="E275" s="374"/>
      <c r="F275" s="374"/>
      <c r="G275" s="374"/>
      <c r="H275" s="374"/>
    </row>
    <row r="276" spans="5:8" ht="21" customHeight="1">
      <c r="E276" s="374"/>
      <c r="F276" s="374"/>
      <c r="G276" s="374"/>
      <c r="H276" s="374"/>
    </row>
    <row r="277" spans="5:8" ht="21" customHeight="1">
      <c r="E277" s="374"/>
      <c r="F277" s="374"/>
      <c r="G277" s="374"/>
      <c r="H277" s="374"/>
    </row>
    <row r="278" spans="5:8" ht="21" customHeight="1">
      <c r="E278" s="374"/>
      <c r="F278" s="374"/>
      <c r="G278" s="374"/>
      <c r="H278" s="374"/>
    </row>
    <row r="279" spans="5:8" ht="21" customHeight="1">
      <c r="E279" s="374"/>
      <c r="F279" s="374"/>
      <c r="G279" s="374"/>
      <c r="H279" s="374"/>
    </row>
    <row r="280" spans="5:8" ht="21" customHeight="1">
      <c r="E280" s="374"/>
      <c r="F280" s="374"/>
      <c r="G280" s="374"/>
      <c r="H280" s="374"/>
    </row>
    <row r="281" spans="5:8" ht="21" customHeight="1">
      <c r="E281" s="374"/>
      <c r="F281" s="374"/>
      <c r="G281" s="374"/>
      <c r="H281" s="374"/>
    </row>
    <row r="282" spans="5:8" ht="21" customHeight="1">
      <c r="E282" s="374"/>
      <c r="F282" s="374"/>
      <c r="G282" s="374"/>
      <c r="H282" s="374"/>
    </row>
    <row r="283" spans="5:8" ht="21" customHeight="1">
      <c r="E283" s="374"/>
      <c r="F283" s="374"/>
      <c r="G283" s="374"/>
      <c r="H283" s="374"/>
    </row>
    <row r="284" spans="5:8" ht="21" customHeight="1">
      <c r="E284" s="374"/>
      <c r="F284" s="374"/>
      <c r="G284" s="374"/>
      <c r="H284" s="374"/>
    </row>
    <row r="285" spans="5:8" ht="21" customHeight="1">
      <c r="E285" s="374"/>
      <c r="F285" s="374"/>
      <c r="G285" s="374"/>
      <c r="H285" s="374"/>
    </row>
    <row r="286" spans="5:8" ht="21" customHeight="1">
      <c r="E286" s="374"/>
      <c r="F286" s="374"/>
      <c r="G286" s="374"/>
      <c r="H286" s="374"/>
    </row>
    <row r="287" spans="5:8" ht="21" customHeight="1">
      <c r="E287" s="374"/>
      <c r="F287" s="374"/>
      <c r="G287" s="374"/>
      <c r="H287" s="374"/>
    </row>
    <row r="288" spans="5:8" ht="21" customHeight="1">
      <c r="E288" s="374"/>
      <c r="F288" s="374"/>
      <c r="G288" s="374"/>
      <c r="H288" s="374"/>
    </row>
    <row r="289" spans="5:8" ht="21" customHeight="1">
      <c r="E289" s="374"/>
      <c r="F289" s="374"/>
      <c r="G289" s="374"/>
      <c r="H289" s="374"/>
    </row>
    <row r="290" spans="5:8" ht="21" customHeight="1">
      <c r="E290" s="374"/>
      <c r="F290" s="374"/>
      <c r="G290" s="374"/>
      <c r="H290" s="374"/>
    </row>
    <row r="291" spans="5:8" ht="21" customHeight="1">
      <c r="E291" s="374"/>
      <c r="F291" s="374"/>
      <c r="G291" s="374"/>
      <c r="H291" s="374"/>
    </row>
    <row r="292" spans="5:8" ht="21" customHeight="1">
      <c r="E292" s="374"/>
      <c r="F292" s="374"/>
      <c r="G292" s="374"/>
      <c r="H292" s="374"/>
    </row>
    <row r="293" spans="5:8" ht="21" customHeight="1">
      <c r="E293" s="374"/>
      <c r="F293" s="374"/>
      <c r="G293" s="374"/>
      <c r="H293" s="374"/>
    </row>
    <row r="294" spans="5:8" ht="21" customHeight="1">
      <c r="E294" s="374"/>
      <c r="F294" s="374"/>
      <c r="G294" s="374"/>
      <c r="H294" s="374"/>
    </row>
    <row r="295" spans="5:8" ht="21" customHeight="1">
      <c r="E295" s="374"/>
      <c r="F295" s="374"/>
      <c r="G295" s="374"/>
      <c r="H295" s="374"/>
    </row>
    <row r="296" spans="5:8" ht="21" customHeight="1">
      <c r="E296" s="374"/>
      <c r="F296" s="374"/>
      <c r="G296" s="374"/>
      <c r="H296" s="374"/>
    </row>
    <row r="297" spans="5:8" ht="21" customHeight="1">
      <c r="E297" s="374"/>
      <c r="F297" s="374"/>
      <c r="G297" s="374"/>
      <c r="H297" s="374"/>
    </row>
    <row r="298" spans="5:8" ht="21" customHeight="1">
      <c r="E298" s="374"/>
      <c r="F298" s="374"/>
      <c r="G298" s="374"/>
      <c r="H298" s="374"/>
    </row>
    <row r="299" spans="5:8" ht="21" customHeight="1">
      <c r="E299" s="374"/>
      <c r="F299" s="374"/>
      <c r="G299" s="374"/>
      <c r="H299" s="374"/>
    </row>
    <row r="300" spans="5:8" ht="21" customHeight="1">
      <c r="E300" s="374"/>
      <c r="F300" s="374"/>
      <c r="G300" s="374"/>
      <c r="H300" s="374"/>
    </row>
    <row r="301" spans="5:8" ht="21" customHeight="1">
      <c r="E301" s="374"/>
      <c r="F301" s="374"/>
      <c r="G301" s="374"/>
      <c r="H301" s="374"/>
    </row>
    <row r="302" spans="5:8" ht="21" customHeight="1">
      <c r="E302" s="374"/>
      <c r="F302" s="374"/>
      <c r="G302" s="374"/>
      <c r="H302" s="374"/>
    </row>
    <row r="303" spans="5:8" ht="21" customHeight="1">
      <c r="E303" s="374"/>
      <c r="F303" s="374"/>
      <c r="G303" s="374"/>
      <c r="H303" s="374"/>
    </row>
    <row r="304" spans="5:8" ht="21" customHeight="1">
      <c r="E304" s="374"/>
      <c r="F304" s="374"/>
      <c r="G304" s="374"/>
      <c r="H304" s="374"/>
    </row>
    <row r="305" spans="5:8" ht="21" customHeight="1">
      <c r="E305" s="374"/>
      <c r="F305" s="374"/>
      <c r="G305" s="374"/>
      <c r="H305" s="374"/>
    </row>
    <row r="306" spans="5:8" ht="21" customHeight="1">
      <c r="E306" s="374"/>
      <c r="F306" s="374"/>
      <c r="G306" s="374"/>
      <c r="H306" s="374"/>
    </row>
    <row r="307" spans="5:8" ht="21" customHeight="1">
      <c r="E307" s="374"/>
      <c r="F307" s="374"/>
      <c r="G307" s="374"/>
      <c r="H307" s="374"/>
    </row>
    <row r="308" spans="5:8" ht="21" customHeight="1">
      <c r="E308" s="374"/>
      <c r="F308" s="374"/>
      <c r="G308" s="374"/>
      <c r="H308" s="374"/>
    </row>
    <row r="309" spans="5:8" ht="21" customHeight="1">
      <c r="E309" s="374"/>
      <c r="F309" s="374"/>
      <c r="G309" s="374"/>
      <c r="H309" s="374"/>
    </row>
    <row r="310" spans="5:8" ht="21" customHeight="1">
      <c r="E310" s="374"/>
      <c r="F310" s="374"/>
      <c r="G310" s="374"/>
      <c r="H310" s="374"/>
    </row>
    <row r="311" spans="5:8" ht="21" customHeight="1">
      <c r="E311" s="374"/>
      <c r="F311" s="374"/>
      <c r="G311" s="374"/>
      <c r="H311" s="374"/>
    </row>
    <row r="312" spans="5:8" ht="21" customHeight="1">
      <c r="E312" s="374"/>
      <c r="F312" s="374"/>
      <c r="G312" s="374"/>
      <c r="H312" s="374"/>
    </row>
    <row r="313" spans="5:8" ht="21" customHeight="1">
      <c r="E313" s="374"/>
      <c r="F313" s="374"/>
      <c r="G313" s="374"/>
      <c r="H313" s="374"/>
    </row>
    <row r="314" spans="5:8" ht="21" customHeight="1">
      <c r="E314" s="374"/>
      <c r="F314" s="374"/>
      <c r="G314" s="374"/>
      <c r="H314" s="374"/>
    </row>
    <row r="315" spans="5:8" ht="21" customHeight="1">
      <c r="E315" s="374"/>
      <c r="F315" s="374"/>
      <c r="G315" s="374"/>
      <c r="H315" s="374"/>
    </row>
    <row r="316" spans="5:8" ht="21" customHeight="1">
      <c r="E316" s="374"/>
      <c r="F316" s="374"/>
      <c r="G316" s="374"/>
      <c r="H316" s="374"/>
    </row>
    <row r="317" spans="5:8" ht="21" customHeight="1">
      <c r="E317" s="374"/>
      <c r="F317" s="374"/>
      <c r="G317" s="374"/>
      <c r="H317" s="374"/>
    </row>
    <row r="318" spans="5:8" ht="21" customHeight="1">
      <c r="E318" s="374"/>
      <c r="F318" s="374"/>
      <c r="G318" s="374"/>
      <c r="H318" s="374"/>
    </row>
    <row r="319" spans="5:8" ht="21" customHeight="1">
      <c r="E319" s="374"/>
      <c r="F319" s="374"/>
      <c r="G319" s="374"/>
      <c r="H319" s="374"/>
    </row>
    <row r="320" spans="5:8" ht="21" customHeight="1">
      <c r="E320" s="374"/>
      <c r="F320" s="374"/>
      <c r="G320" s="374"/>
      <c r="H320" s="374"/>
    </row>
    <row r="321" spans="5:8" ht="21" customHeight="1">
      <c r="E321" s="374"/>
      <c r="F321" s="374"/>
      <c r="G321" s="374"/>
      <c r="H321" s="374"/>
    </row>
    <row r="322" spans="5:8" ht="21" customHeight="1">
      <c r="E322" s="374"/>
      <c r="F322" s="374"/>
      <c r="G322" s="374"/>
      <c r="H322" s="374"/>
    </row>
    <row r="323" spans="5:8" ht="21" customHeight="1">
      <c r="E323" s="374"/>
      <c r="F323" s="374"/>
      <c r="G323" s="374"/>
      <c r="H323" s="374"/>
    </row>
    <row r="324" spans="5:8" ht="21" customHeight="1">
      <c r="E324" s="374"/>
      <c r="F324" s="374"/>
      <c r="G324" s="374"/>
      <c r="H324" s="374"/>
    </row>
    <row r="325" spans="5:8" ht="21" customHeight="1">
      <c r="E325" s="374"/>
      <c r="F325" s="374"/>
      <c r="G325" s="374"/>
      <c r="H325" s="374"/>
    </row>
    <row r="326" spans="5:8" ht="21" customHeight="1">
      <c r="E326" s="374"/>
      <c r="F326" s="374"/>
      <c r="G326" s="374"/>
      <c r="H326" s="374"/>
    </row>
    <row r="327" spans="5:8" ht="21" customHeight="1">
      <c r="E327" s="374"/>
      <c r="F327" s="374"/>
      <c r="G327" s="374"/>
      <c r="H327" s="374"/>
    </row>
    <row r="328" spans="5:8" ht="21" customHeight="1">
      <c r="E328" s="374"/>
      <c r="F328" s="374"/>
      <c r="G328" s="374"/>
      <c r="H328" s="374"/>
    </row>
    <row r="329" spans="5:8" ht="21" customHeight="1">
      <c r="E329" s="374"/>
      <c r="F329" s="374"/>
      <c r="G329" s="374"/>
      <c r="H329" s="374"/>
    </row>
    <row r="330" spans="5:8" ht="21" customHeight="1">
      <c r="E330" s="374"/>
      <c r="F330" s="374"/>
      <c r="G330" s="374"/>
      <c r="H330" s="374"/>
    </row>
    <row r="331" spans="5:8" ht="21" customHeight="1">
      <c r="E331" s="374"/>
      <c r="F331" s="374"/>
      <c r="G331" s="374"/>
      <c r="H331" s="374"/>
    </row>
    <row r="332" spans="5:8" ht="21" customHeight="1">
      <c r="E332" s="374"/>
      <c r="F332" s="374"/>
      <c r="G332" s="374"/>
      <c r="H332" s="374"/>
    </row>
    <row r="333" spans="5:8" ht="21" customHeight="1">
      <c r="E333" s="374"/>
      <c r="F333" s="374"/>
      <c r="G333" s="374"/>
      <c r="H333" s="374"/>
    </row>
    <row r="334" spans="5:8" ht="21" customHeight="1">
      <c r="E334" s="374"/>
      <c r="F334" s="374"/>
      <c r="G334" s="374"/>
      <c r="H334" s="374"/>
    </row>
    <row r="335" spans="5:8" ht="21" customHeight="1">
      <c r="E335" s="374"/>
      <c r="F335" s="374"/>
      <c r="G335" s="374"/>
      <c r="H335" s="374"/>
    </row>
    <row r="336" spans="5:8" ht="21" customHeight="1">
      <c r="E336" s="374"/>
      <c r="F336" s="374"/>
      <c r="G336" s="374"/>
      <c r="H336" s="374"/>
    </row>
    <row r="337" spans="5:8" ht="21" customHeight="1">
      <c r="E337" s="374"/>
      <c r="F337" s="374"/>
      <c r="G337" s="374"/>
      <c r="H337" s="374"/>
    </row>
    <row r="338" spans="5:8" ht="21" customHeight="1">
      <c r="E338" s="374"/>
      <c r="F338" s="374"/>
      <c r="G338" s="374"/>
      <c r="H338" s="374"/>
    </row>
    <row r="339" spans="5:8" ht="21" customHeight="1">
      <c r="E339" s="374"/>
      <c r="F339" s="374"/>
      <c r="G339" s="374"/>
      <c r="H339" s="374"/>
    </row>
    <row r="340" spans="5:8" ht="21" customHeight="1">
      <c r="E340" s="374"/>
      <c r="F340" s="374"/>
      <c r="G340" s="374"/>
      <c r="H340" s="374"/>
    </row>
    <row r="341" spans="5:8" ht="21" customHeight="1">
      <c r="E341" s="374"/>
      <c r="F341" s="374"/>
      <c r="G341" s="374"/>
      <c r="H341" s="374"/>
    </row>
    <row r="342" spans="5:8" ht="21" customHeight="1">
      <c r="E342" s="374"/>
      <c r="F342" s="374"/>
      <c r="G342" s="374"/>
      <c r="H342" s="374"/>
    </row>
    <row r="343" spans="5:8" ht="21" customHeight="1">
      <c r="E343" s="374"/>
      <c r="F343" s="374"/>
      <c r="G343" s="374"/>
      <c r="H343" s="374"/>
    </row>
    <row r="344" spans="5:8" ht="21" customHeight="1">
      <c r="E344" s="374"/>
      <c r="F344" s="374"/>
      <c r="G344" s="374"/>
      <c r="H344" s="374"/>
    </row>
    <row r="345" spans="5:8" ht="21" customHeight="1">
      <c r="E345" s="374"/>
      <c r="F345" s="374"/>
      <c r="G345" s="374"/>
      <c r="H345" s="374"/>
    </row>
    <row r="346" spans="5:8" ht="21" customHeight="1">
      <c r="E346" s="374"/>
      <c r="F346" s="374"/>
      <c r="G346" s="374"/>
      <c r="H346" s="374"/>
    </row>
    <row r="347" spans="5:8" ht="21" customHeight="1">
      <c r="E347" s="374"/>
      <c r="F347" s="374"/>
      <c r="G347" s="374"/>
      <c r="H347" s="374"/>
    </row>
    <row r="348" spans="5:8" ht="21" customHeight="1">
      <c r="E348" s="374"/>
      <c r="F348" s="374"/>
      <c r="G348" s="374"/>
      <c r="H348" s="374"/>
    </row>
    <row r="349" spans="5:8" ht="21" customHeight="1">
      <c r="E349" s="374"/>
      <c r="F349" s="374"/>
      <c r="G349" s="374"/>
      <c r="H349" s="374"/>
    </row>
    <row r="350" spans="5:8" ht="21" customHeight="1">
      <c r="E350" s="374"/>
      <c r="F350" s="374"/>
      <c r="G350" s="374"/>
      <c r="H350" s="374"/>
    </row>
    <row r="351" spans="5:8" ht="21" customHeight="1">
      <c r="E351" s="374"/>
      <c r="F351" s="374"/>
      <c r="G351" s="374"/>
      <c r="H351" s="374"/>
    </row>
    <row r="352" spans="5:8" ht="21" customHeight="1">
      <c r="E352" s="374"/>
      <c r="F352" s="374"/>
      <c r="G352" s="374"/>
      <c r="H352" s="374"/>
    </row>
    <row r="353" spans="5:8" ht="21" customHeight="1">
      <c r="E353" s="374"/>
      <c r="F353" s="374"/>
      <c r="G353" s="374"/>
      <c r="H353" s="374"/>
    </row>
    <row r="354" spans="5:8" ht="21" customHeight="1">
      <c r="E354" s="374"/>
      <c r="F354" s="374"/>
      <c r="G354" s="374"/>
      <c r="H354" s="374"/>
    </row>
    <row r="355" spans="5:8" ht="21" customHeight="1">
      <c r="E355" s="374"/>
      <c r="F355" s="374"/>
      <c r="G355" s="374"/>
      <c r="H355" s="374"/>
    </row>
    <row r="356" spans="5:8" ht="21" customHeight="1">
      <c r="E356" s="374"/>
      <c r="F356" s="374"/>
      <c r="G356" s="374"/>
      <c r="H356" s="374"/>
    </row>
    <row r="357" spans="5:8" ht="21" customHeight="1">
      <c r="E357" s="374"/>
      <c r="F357" s="374"/>
      <c r="G357" s="374"/>
      <c r="H357" s="374"/>
    </row>
    <row r="358" spans="5:8" ht="21" customHeight="1">
      <c r="E358" s="374"/>
      <c r="F358" s="374"/>
      <c r="G358" s="374"/>
      <c r="H358" s="374"/>
    </row>
    <row r="359" spans="5:8" ht="21" customHeight="1">
      <c r="E359" s="374"/>
      <c r="F359" s="374"/>
      <c r="G359" s="374"/>
      <c r="H359" s="374"/>
    </row>
    <row r="360" spans="5:8" ht="21" customHeight="1">
      <c r="E360" s="374"/>
      <c r="F360" s="374"/>
      <c r="G360" s="374"/>
      <c r="H360" s="374"/>
    </row>
    <row r="361" spans="5:8" ht="21" customHeight="1">
      <c r="E361" s="374"/>
      <c r="F361" s="374"/>
      <c r="G361" s="374"/>
      <c r="H361" s="374"/>
    </row>
    <row r="362" spans="5:8" ht="21" customHeight="1">
      <c r="E362" s="374"/>
      <c r="F362" s="374"/>
      <c r="G362" s="374"/>
      <c r="H362" s="374"/>
    </row>
    <row r="363" spans="5:8" ht="21" customHeight="1">
      <c r="E363" s="374"/>
      <c r="F363" s="374"/>
      <c r="G363" s="374"/>
      <c r="H363" s="374"/>
    </row>
    <row r="364" spans="5:8" ht="21" customHeight="1">
      <c r="E364" s="374"/>
      <c r="F364" s="374"/>
      <c r="G364" s="374"/>
      <c r="H364" s="374"/>
    </row>
    <row r="365" spans="5:8" ht="21" customHeight="1">
      <c r="E365" s="374"/>
      <c r="F365" s="374"/>
      <c r="G365" s="374"/>
      <c r="H365" s="374"/>
    </row>
    <row r="366" spans="5:8" ht="21" customHeight="1">
      <c r="E366" s="374"/>
      <c r="F366" s="374"/>
      <c r="G366" s="374"/>
      <c r="H366" s="374"/>
    </row>
    <row r="367" spans="5:8" ht="21" customHeight="1">
      <c r="E367" s="374"/>
      <c r="F367" s="374"/>
      <c r="G367" s="374"/>
      <c r="H367" s="374"/>
    </row>
    <row r="368" spans="5:8" ht="21" customHeight="1">
      <c r="E368" s="374"/>
      <c r="F368" s="374"/>
      <c r="G368" s="374"/>
      <c r="H368" s="374"/>
    </row>
    <row r="369" spans="5:8" ht="21" customHeight="1">
      <c r="E369" s="374"/>
      <c r="F369" s="374"/>
      <c r="G369" s="374"/>
      <c r="H369" s="374"/>
    </row>
    <row r="370" spans="5:8" ht="21" customHeight="1">
      <c r="E370" s="374"/>
      <c r="F370" s="374"/>
      <c r="G370" s="374"/>
      <c r="H370" s="374"/>
    </row>
    <row r="371" spans="5:8" ht="21" customHeight="1">
      <c r="E371" s="374"/>
      <c r="F371" s="374"/>
      <c r="G371" s="374"/>
      <c r="H371" s="374"/>
    </row>
    <row r="372" spans="5:8" ht="21" customHeight="1">
      <c r="E372" s="374"/>
      <c r="F372" s="374"/>
      <c r="G372" s="374"/>
      <c r="H372" s="374"/>
    </row>
    <row r="373" spans="5:8" ht="21" customHeight="1">
      <c r="E373" s="374"/>
      <c r="F373" s="374"/>
      <c r="G373" s="374"/>
      <c r="H373" s="374"/>
    </row>
    <row r="374" spans="5:8" ht="21" customHeight="1">
      <c r="E374" s="374"/>
      <c r="F374" s="374"/>
      <c r="G374" s="374"/>
      <c r="H374" s="374"/>
    </row>
    <row r="375" spans="5:8" ht="21" customHeight="1">
      <c r="E375" s="374"/>
      <c r="F375" s="374"/>
      <c r="G375" s="374"/>
      <c r="H375" s="374"/>
    </row>
    <row r="376" spans="5:8" ht="21" customHeight="1">
      <c r="E376" s="374"/>
      <c r="F376" s="374"/>
      <c r="G376" s="374"/>
      <c r="H376" s="374"/>
    </row>
    <row r="377" spans="5:8" ht="21" customHeight="1">
      <c r="E377" s="374"/>
      <c r="F377" s="374"/>
      <c r="G377" s="374"/>
      <c r="H377" s="374"/>
    </row>
    <row r="378" spans="5:8" ht="21" customHeight="1">
      <c r="E378" s="374"/>
      <c r="F378" s="374"/>
      <c r="G378" s="374"/>
      <c r="H378" s="374"/>
    </row>
    <row r="379" spans="5:8" ht="21" customHeight="1">
      <c r="E379" s="374"/>
      <c r="F379" s="374"/>
      <c r="G379" s="374"/>
      <c r="H379" s="374"/>
    </row>
    <row r="380" spans="5:8" ht="21" customHeight="1">
      <c r="E380" s="374"/>
      <c r="F380" s="374"/>
      <c r="G380" s="374"/>
      <c r="H380" s="374"/>
    </row>
    <row r="381" spans="5:8" ht="21" customHeight="1">
      <c r="E381" s="374"/>
      <c r="F381" s="374"/>
      <c r="G381" s="374"/>
      <c r="H381" s="374"/>
    </row>
    <row r="382" spans="5:8" ht="21" customHeight="1">
      <c r="E382" s="374"/>
      <c r="F382" s="374"/>
      <c r="G382" s="374"/>
      <c r="H382" s="374"/>
    </row>
    <row r="383" spans="5:8" ht="21" customHeight="1">
      <c r="E383" s="374"/>
      <c r="F383" s="374"/>
      <c r="G383" s="374"/>
      <c r="H383" s="374"/>
    </row>
    <row r="384" spans="5:8" ht="21" customHeight="1">
      <c r="E384" s="374"/>
      <c r="F384" s="374"/>
      <c r="G384" s="374"/>
      <c r="H384" s="374"/>
    </row>
    <row r="385" spans="5:8" ht="21" customHeight="1">
      <c r="E385" s="374"/>
      <c r="F385" s="374"/>
      <c r="G385" s="374"/>
      <c r="H385" s="374"/>
    </row>
    <row r="386" spans="5:8" ht="21" customHeight="1">
      <c r="E386" s="374"/>
      <c r="F386" s="374"/>
      <c r="G386" s="374"/>
      <c r="H386" s="374"/>
    </row>
    <row r="387" spans="5:8" ht="21" customHeight="1">
      <c r="E387" s="374"/>
      <c r="F387" s="374"/>
      <c r="G387" s="374"/>
      <c r="H387" s="374"/>
    </row>
    <row r="388" spans="5:8" ht="21" customHeight="1">
      <c r="E388" s="374"/>
      <c r="F388" s="374"/>
      <c r="G388" s="374"/>
      <c r="H388" s="374"/>
    </row>
    <row r="389" spans="5:8" ht="21" customHeight="1">
      <c r="E389" s="374"/>
      <c r="F389" s="374"/>
      <c r="G389" s="374"/>
      <c r="H389" s="374"/>
    </row>
    <row r="390" spans="5:8" ht="21" customHeight="1">
      <c r="E390" s="374"/>
      <c r="F390" s="374"/>
      <c r="G390" s="374"/>
      <c r="H390" s="374"/>
    </row>
    <row r="391" spans="5:8" ht="21" customHeight="1">
      <c r="E391" s="374"/>
      <c r="F391" s="374"/>
      <c r="G391" s="374"/>
      <c r="H391" s="374"/>
    </row>
    <row r="392" spans="5:8" ht="21" customHeight="1">
      <c r="E392" s="374"/>
      <c r="F392" s="374"/>
      <c r="G392" s="374"/>
      <c r="H392" s="374"/>
    </row>
    <row r="393" spans="5:8" ht="21" customHeight="1">
      <c r="E393" s="374"/>
      <c r="F393" s="374"/>
      <c r="G393" s="374"/>
      <c r="H393" s="374"/>
    </row>
    <row r="394" spans="5:8" ht="21" customHeight="1">
      <c r="E394" s="374"/>
      <c r="F394" s="374"/>
      <c r="G394" s="374"/>
      <c r="H394" s="374"/>
    </row>
    <row r="395" spans="5:8" ht="21" customHeight="1">
      <c r="E395" s="374"/>
      <c r="F395" s="374"/>
      <c r="G395" s="374"/>
      <c r="H395" s="374"/>
    </row>
    <row r="396" spans="5:8" ht="21" customHeight="1">
      <c r="E396" s="374"/>
      <c r="F396" s="374"/>
      <c r="G396" s="374"/>
      <c r="H396" s="374"/>
    </row>
    <row r="397" spans="5:8" ht="21" customHeight="1">
      <c r="E397" s="374"/>
      <c r="F397" s="374"/>
      <c r="G397" s="374"/>
      <c r="H397" s="374"/>
    </row>
    <row r="398" spans="5:8" ht="21" customHeight="1">
      <c r="E398" s="374"/>
      <c r="F398" s="374"/>
      <c r="G398" s="374"/>
      <c r="H398" s="374"/>
    </row>
    <row r="399" spans="5:8" ht="21" customHeight="1">
      <c r="E399" s="374"/>
      <c r="F399" s="374"/>
      <c r="G399" s="374"/>
      <c r="H399" s="374"/>
    </row>
    <row r="400" spans="5:8" ht="21" customHeight="1">
      <c r="E400" s="374"/>
      <c r="F400" s="374"/>
      <c r="G400" s="374"/>
      <c r="H400" s="374"/>
    </row>
    <row r="401" spans="5:8" ht="21" customHeight="1">
      <c r="E401" s="374"/>
      <c r="F401" s="374"/>
      <c r="G401" s="374"/>
      <c r="H401" s="374"/>
    </row>
    <row r="402" spans="5:8" ht="21" customHeight="1">
      <c r="E402" s="374"/>
      <c r="F402" s="374"/>
      <c r="G402" s="374"/>
      <c r="H402" s="374"/>
    </row>
    <row r="403" spans="5:8" ht="21" customHeight="1">
      <c r="E403" s="374"/>
      <c r="F403" s="374"/>
      <c r="G403" s="374"/>
      <c r="H403" s="374"/>
    </row>
    <row r="404" spans="5:8" ht="21" customHeight="1">
      <c r="E404" s="374"/>
      <c r="F404" s="374"/>
      <c r="G404" s="374"/>
      <c r="H404" s="374"/>
    </row>
    <row r="405" spans="5:8" ht="21" customHeight="1">
      <c r="E405" s="374"/>
      <c r="F405" s="374"/>
      <c r="G405" s="374"/>
      <c r="H405" s="374"/>
    </row>
    <row r="406" spans="5:8" ht="21" customHeight="1">
      <c r="E406" s="374"/>
      <c r="F406" s="374"/>
      <c r="G406" s="374"/>
      <c r="H406" s="374"/>
    </row>
    <row r="407" spans="5:8" ht="21" customHeight="1">
      <c r="E407" s="374"/>
      <c r="F407" s="374"/>
      <c r="G407" s="374"/>
      <c r="H407" s="374"/>
    </row>
    <row r="408" spans="5:8" ht="21" customHeight="1">
      <c r="E408" s="374"/>
      <c r="F408" s="374"/>
      <c r="G408" s="374"/>
      <c r="H408" s="374"/>
    </row>
    <row r="409" spans="5:8" ht="21" customHeight="1">
      <c r="E409" s="374"/>
      <c r="F409" s="374"/>
      <c r="G409" s="374"/>
      <c r="H409" s="374"/>
    </row>
    <row r="410" spans="5:8" ht="21" customHeight="1">
      <c r="E410" s="374"/>
      <c r="F410" s="374"/>
      <c r="G410" s="374"/>
      <c r="H410" s="374"/>
    </row>
    <row r="411" spans="5:8" ht="21" customHeight="1">
      <c r="E411" s="374"/>
      <c r="F411" s="374"/>
      <c r="G411" s="374"/>
      <c r="H411" s="374"/>
    </row>
    <row r="412" spans="5:8" ht="21" customHeight="1">
      <c r="E412" s="374"/>
      <c r="F412" s="374"/>
      <c r="G412" s="374"/>
      <c r="H412" s="374"/>
    </row>
    <row r="413" spans="5:8" ht="21" customHeight="1">
      <c r="E413" s="374"/>
      <c r="F413" s="374"/>
      <c r="G413" s="374"/>
      <c r="H413" s="374"/>
    </row>
    <row r="414" spans="5:8" ht="21" customHeight="1">
      <c r="E414" s="374"/>
      <c r="F414" s="374"/>
      <c r="G414" s="374"/>
      <c r="H414" s="374"/>
    </row>
    <row r="415" spans="5:8" ht="21" customHeight="1">
      <c r="E415" s="374"/>
      <c r="F415" s="374"/>
      <c r="G415" s="374"/>
      <c r="H415" s="374"/>
    </row>
    <row r="416" spans="5:8" ht="21" customHeight="1">
      <c r="E416" s="374"/>
      <c r="F416" s="374"/>
      <c r="G416" s="374"/>
      <c r="H416" s="374"/>
    </row>
    <row r="417" spans="5:8" ht="21" customHeight="1">
      <c r="E417" s="374"/>
      <c r="F417" s="374"/>
      <c r="G417" s="374"/>
      <c r="H417" s="374"/>
    </row>
    <row r="418" spans="5:8" ht="21" customHeight="1">
      <c r="E418" s="374"/>
      <c r="F418" s="374"/>
      <c r="G418" s="374"/>
      <c r="H418" s="374"/>
    </row>
    <row r="419" spans="5:8" ht="21" customHeight="1">
      <c r="E419" s="374"/>
      <c r="F419" s="374"/>
      <c r="G419" s="374"/>
      <c r="H419" s="374"/>
    </row>
    <row r="420" spans="5:8" ht="21" customHeight="1">
      <c r="E420" s="374"/>
      <c r="F420" s="374"/>
      <c r="G420" s="374"/>
      <c r="H420" s="374"/>
    </row>
    <row r="421" spans="5:8" ht="21" customHeight="1">
      <c r="E421" s="374"/>
      <c r="F421" s="374"/>
      <c r="G421" s="374"/>
      <c r="H421" s="374"/>
    </row>
    <row r="422" spans="5:8" ht="21" customHeight="1">
      <c r="E422" s="374"/>
      <c r="F422" s="374"/>
      <c r="G422" s="374"/>
      <c r="H422" s="374"/>
    </row>
    <row r="423" spans="5:8" ht="21" customHeight="1">
      <c r="E423" s="374"/>
      <c r="F423" s="374"/>
      <c r="G423" s="374"/>
      <c r="H423" s="374"/>
    </row>
    <row r="424" spans="5:8" ht="21" customHeight="1">
      <c r="E424" s="374"/>
      <c r="F424" s="374"/>
      <c r="G424" s="374"/>
      <c r="H424" s="374"/>
    </row>
    <row r="425" spans="5:8" ht="21" customHeight="1">
      <c r="E425" s="374"/>
      <c r="F425" s="374"/>
      <c r="G425" s="374"/>
      <c r="H425" s="374"/>
    </row>
    <row r="426" spans="5:8" ht="21" customHeight="1">
      <c r="E426" s="374"/>
      <c r="F426" s="374"/>
      <c r="G426" s="374"/>
      <c r="H426" s="374"/>
    </row>
    <row r="427" spans="5:8" ht="21" customHeight="1">
      <c r="E427" s="374"/>
      <c r="F427" s="374"/>
      <c r="G427" s="374"/>
      <c r="H427" s="374"/>
    </row>
    <row r="428" spans="5:8" ht="21" customHeight="1">
      <c r="E428" s="374"/>
      <c r="F428" s="374"/>
      <c r="G428" s="374"/>
      <c r="H428" s="374"/>
    </row>
    <row r="429" spans="5:8" ht="21" customHeight="1">
      <c r="E429" s="374"/>
      <c r="F429" s="374"/>
      <c r="G429" s="374"/>
      <c r="H429" s="374"/>
    </row>
    <row r="430" spans="5:8" ht="21" customHeight="1">
      <c r="E430" s="374"/>
      <c r="F430" s="374"/>
      <c r="G430" s="374"/>
      <c r="H430" s="374"/>
    </row>
    <row r="431" spans="5:8" ht="21" customHeight="1">
      <c r="E431" s="374"/>
      <c r="F431" s="374"/>
      <c r="G431" s="374"/>
      <c r="H431" s="374"/>
    </row>
    <row r="432" spans="5:8" ht="21" customHeight="1">
      <c r="E432" s="374"/>
      <c r="F432" s="374"/>
      <c r="G432" s="374"/>
      <c r="H432" s="374"/>
    </row>
    <row r="433" spans="5:8" ht="21" customHeight="1">
      <c r="E433" s="374"/>
      <c r="F433" s="374"/>
      <c r="G433" s="374"/>
      <c r="H433" s="374"/>
    </row>
    <row r="434" spans="5:8" ht="21" customHeight="1">
      <c r="E434" s="374"/>
      <c r="F434" s="374"/>
      <c r="G434" s="374"/>
      <c r="H434" s="374"/>
    </row>
    <row r="435" spans="5:8" ht="21" customHeight="1">
      <c r="E435" s="374"/>
      <c r="F435" s="374"/>
      <c r="G435" s="374"/>
      <c r="H435" s="374"/>
    </row>
    <row r="436" spans="5:8" ht="21" customHeight="1">
      <c r="E436" s="374"/>
      <c r="F436" s="374"/>
      <c r="G436" s="374"/>
      <c r="H436" s="374"/>
    </row>
    <row r="437" spans="5:8" ht="21" customHeight="1">
      <c r="E437" s="374"/>
      <c r="F437" s="374"/>
      <c r="G437" s="374"/>
      <c r="H437" s="374"/>
    </row>
    <row r="438" spans="5:8" ht="21" customHeight="1">
      <c r="E438" s="374"/>
      <c r="F438" s="374"/>
      <c r="G438" s="374"/>
      <c r="H438" s="374"/>
    </row>
    <row r="439" spans="5:8" ht="21" customHeight="1">
      <c r="E439" s="374"/>
      <c r="F439" s="374"/>
      <c r="G439" s="374"/>
      <c r="H439" s="374"/>
    </row>
    <row r="440" spans="5:8" ht="21" customHeight="1">
      <c r="E440" s="374"/>
      <c r="F440" s="374"/>
      <c r="G440" s="374"/>
      <c r="H440" s="374"/>
    </row>
    <row r="441" spans="5:8" ht="21" customHeight="1">
      <c r="E441" s="374"/>
      <c r="F441" s="374"/>
      <c r="G441" s="374"/>
      <c r="H441" s="374"/>
    </row>
    <row r="442" spans="5:8" ht="21" customHeight="1">
      <c r="E442" s="374"/>
      <c r="F442" s="374"/>
      <c r="G442" s="374"/>
      <c r="H442" s="374"/>
    </row>
    <row r="443" spans="5:8" ht="21" customHeight="1">
      <c r="E443" s="374"/>
      <c r="F443" s="374"/>
      <c r="G443" s="374"/>
      <c r="H443" s="374"/>
    </row>
    <row r="444" spans="5:8" ht="21" customHeight="1">
      <c r="E444" s="374"/>
      <c r="F444" s="374"/>
      <c r="G444" s="374"/>
      <c r="H444" s="374"/>
    </row>
    <row r="445" spans="5:8" ht="21" customHeight="1">
      <c r="E445" s="374"/>
      <c r="F445" s="374"/>
      <c r="G445" s="374"/>
      <c r="H445" s="374"/>
    </row>
    <row r="446" spans="5:8" ht="21" customHeight="1">
      <c r="E446" s="374"/>
      <c r="F446" s="374"/>
      <c r="G446" s="374"/>
      <c r="H446" s="374"/>
    </row>
    <row r="447" spans="5:8" ht="21" customHeight="1">
      <c r="E447" s="374"/>
      <c r="F447" s="374"/>
      <c r="G447" s="374"/>
      <c r="H447" s="374"/>
    </row>
    <row r="448" spans="5:8" ht="21" customHeight="1">
      <c r="E448" s="374"/>
      <c r="F448" s="374"/>
      <c r="G448" s="374"/>
      <c r="H448" s="374"/>
    </row>
    <row r="449" spans="5:8" ht="21" customHeight="1">
      <c r="E449" s="374"/>
      <c r="F449" s="374"/>
      <c r="G449" s="374"/>
      <c r="H449" s="374"/>
    </row>
    <row r="450" spans="5:8" ht="21" customHeight="1">
      <c r="E450" s="374"/>
      <c r="F450" s="374"/>
      <c r="G450" s="374"/>
      <c r="H450" s="374"/>
    </row>
    <row r="451" spans="5:8" ht="21" customHeight="1">
      <c r="E451" s="374"/>
      <c r="F451" s="374"/>
      <c r="G451" s="374"/>
      <c r="H451" s="374"/>
    </row>
    <row r="452" spans="5:8" ht="21" customHeight="1">
      <c r="E452" s="374"/>
      <c r="F452" s="374"/>
      <c r="G452" s="374"/>
      <c r="H452" s="374"/>
    </row>
    <row r="453" spans="5:8" ht="21" customHeight="1">
      <c r="E453" s="374"/>
      <c r="F453" s="374"/>
      <c r="G453" s="374"/>
      <c r="H453" s="374"/>
    </row>
    <row r="454" spans="5:8" ht="21" customHeight="1">
      <c r="E454" s="374"/>
      <c r="F454" s="374"/>
      <c r="G454" s="374"/>
      <c r="H454" s="374"/>
    </row>
    <row r="455" spans="5:8" ht="21" customHeight="1">
      <c r="E455" s="374"/>
      <c r="F455" s="374"/>
      <c r="G455" s="374"/>
      <c r="H455" s="374"/>
    </row>
    <row r="456" spans="5:8" ht="21" customHeight="1">
      <c r="E456" s="374"/>
      <c r="F456" s="374"/>
      <c r="G456" s="374"/>
      <c r="H456" s="374"/>
    </row>
    <row r="457" spans="5:8" ht="21" customHeight="1">
      <c r="E457" s="374"/>
      <c r="F457" s="374"/>
      <c r="G457" s="374"/>
      <c r="H457" s="374"/>
    </row>
    <row r="458" spans="5:8" ht="21" customHeight="1">
      <c r="E458" s="374"/>
      <c r="F458" s="374"/>
      <c r="G458" s="374"/>
      <c r="H458" s="374"/>
    </row>
    <row r="459" spans="5:8" ht="21" customHeight="1">
      <c r="E459" s="374"/>
      <c r="F459" s="374"/>
      <c r="G459" s="374"/>
      <c r="H459" s="374"/>
    </row>
    <row r="460" spans="5:8" ht="21" customHeight="1">
      <c r="E460" s="374"/>
      <c r="F460" s="374"/>
      <c r="G460" s="374"/>
      <c r="H460" s="374"/>
    </row>
    <row r="461" spans="5:8" ht="21" customHeight="1">
      <c r="E461" s="374"/>
      <c r="F461" s="374"/>
      <c r="G461" s="374"/>
      <c r="H461" s="374"/>
    </row>
    <row r="462" spans="5:8" ht="21" customHeight="1">
      <c r="E462" s="374"/>
      <c r="F462" s="374"/>
      <c r="G462" s="374"/>
      <c r="H462" s="374"/>
    </row>
    <row r="463" spans="5:8" ht="21" customHeight="1">
      <c r="E463" s="374"/>
      <c r="F463" s="374"/>
      <c r="G463" s="374"/>
      <c r="H463" s="374"/>
    </row>
    <row r="464" spans="5:8" ht="21" customHeight="1">
      <c r="E464" s="374"/>
      <c r="F464" s="374"/>
      <c r="G464" s="374"/>
      <c r="H464" s="374"/>
    </row>
    <row r="465" spans="5:8" ht="21" customHeight="1">
      <c r="E465" s="374"/>
      <c r="F465" s="374"/>
      <c r="G465" s="374"/>
      <c r="H465" s="374"/>
    </row>
    <row r="466" spans="5:8" ht="21" customHeight="1">
      <c r="E466" s="374"/>
      <c r="F466" s="374"/>
      <c r="G466" s="374"/>
      <c r="H466" s="374"/>
    </row>
    <row r="467" spans="5:8" ht="21" customHeight="1">
      <c r="E467" s="374"/>
      <c r="F467" s="374"/>
      <c r="G467" s="374"/>
      <c r="H467" s="374"/>
    </row>
    <row r="468" spans="5:8" ht="21" customHeight="1">
      <c r="E468" s="374"/>
      <c r="F468" s="374"/>
      <c r="G468" s="374"/>
      <c r="H468" s="374"/>
    </row>
    <row r="469" spans="5:8" ht="21" customHeight="1">
      <c r="E469" s="374"/>
      <c r="F469" s="374"/>
      <c r="G469" s="374"/>
      <c r="H469" s="374"/>
    </row>
    <row r="470" spans="5:8" ht="21" customHeight="1">
      <c r="E470" s="374"/>
      <c r="F470" s="374"/>
      <c r="G470" s="374"/>
      <c r="H470" s="374"/>
    </row>
    <row r="471" spans="5:8" ht="21" customHeight="1">
      <c r="E471" s="374"/>
      <c r="F471" s="374"/>
      <c r="G471" s="374"/>
      <c r="H471" s="374"/>
    </row>
    <row r="472" spans="5:8" ht="21" customHeight="1">
      <c r="E472" s="374"/>
      <c r="F472" s="374"/>
      <c r="G472" s="374"/>
      <c r="H472" s="374"/>
    </row>
    <row r="473" spans="5:8" ht="21" customHeight="1">
      <c r="E473" s="374"/>
      <c r="F473" s="374"/>
      <c r="G473" s="374"/>
      <c r="H473" s="374"/>
    </row>
    <row r="474" spans="5:8" ht="21" customHeight="1">
      <c r="E474" s="374"/>
      <c r="F474" s="374"/>
      <c r="G474" s="374"/>
      <c r="H474" s="374"/>
    </row>
    <row r="475" spans="5:8" ht="21" customHeight="1">
      <c r="E475" s="374"/>
      <c r="F475" s="374"/>
      <c r="G475" s="374"/>
      <c r="H475" s="374"/>
    </row>
    <row r="476" spans="5:8" ht="21" customHeight="1">
      <c r="E476" s="374"/>
      <c r="F476" s="374"/>
      <c r="G476" s="374"/>
      <c r="H476" s="374"/>
    </row>
    <row r="477" spans="5:8" ht="21" customHeight="1">
      <c r="E477" s="374"/>
      <c r="F477" s="374"/>
      <c r="G477" s="374"/>
      <c r="H477" s="374"/>
    </row>
    <row r="478" spans="5:8" ht="21" customHeight="1">
      <c r="E478" s="374"/>
      <c r="F478" s="374"/>
      <c r="G478" s="374"/>
      <c r="H478" s="374"/>
    </row>
    <row r="479" spans="5:8" ht="21" customHeight="1">
      <c r="E479" s="374"/>
      <c r="F479" s="374"/>
      <c r="G479" s="374"/>
      <c r="H479" s="374"/>
    </row>
    <row r="480" spans="5:8" ht="21" customHeight="1">
      <c r="E480" s="374"/>
      <c r="F480" s="374"/>
      <c r="G480" s="374"/>
      <c r="H480" s="374"/>
    </row>
    <row r="481" spans="5:8" ht="21" customHeight="1">
      <c r="E481" s="374"/>
      <c r="F481" s="374"/>
      <c r="G481" s="374"/>
      <c r="H481" s="374"/>
    </row>
    <row r="482" spans="5:8" ht="21" customHeight="1">
      <c r="E482" s="374"/>
      <c r="F482" s="374"/>
      <c r="G482" s="374"/>
      <c r="H482" s="374"/>
    </row>
    <row r="483" spans="5:8" ht="21" customHeight="1">
      <c r="E483" s="374"/>
      <c r="F483" s="374"/>
      <c r="G483" s="374"/>
      <c r="H483" s="374"/>
    </row>
    <row r="484" spans="5:8" ht="21" customHeight="1">
      <c r="E484" s="374"/>
      <c r="F484" s="374"/>
      <c r="G484" s="374"/>
      <c r="H484" s="374"/>
    </row>
    <row r="485" spans="5:8" ht="21" customHeight="1">
      <c r="E485" s="374"/>
      <c r="F485" s="374"/>
      <c r="G485" s="374"/>
      <c r="H485" s="374"/>
    </row>
    <row r="486" spans="5:8" ht="21" customHeight="1">
      <c r="E486" s="374"/>
      <c r="F486" s="374"/>
      <c r="G486" s="374"/>
      <c r="H486" s="374"/>
    </row>
    <row r="487" spans="5:8" ht="21" customHeight="1">
      <c r="E487" s="374"/>
      <c r="F487" s="374"/>
      <c r="G487" s="374"/>
      <c r="H487" s="374"/>
    </row>
    <row r="488" spans="5:8" ht="21" customHeight="1">
      <c r="E488" s="374"/>
      <c r="F488" s="374"/>
      <c r="G488" s="374"/>
      <c r="H488" s="374"/>
    </row>
    <row r="489" spans="5:8" ht="21" customHeight="1">
      <c r="E489" s="374"/>
      <c r="F489" s="374"/>
      <c r="G489" s="374"/>
      <c r="H489" s="374"/>
    </row>
    <row r="490" spans="5:8" ht="21" customHeight="1">
      <c r="E490" s="374"/>
      <c r="F490" s="374"/>
      <c r="G490" s="374"/>
      <c r="H490" s="374"/>
    </row>
    <row r="491" spans="5:8" ht="21" customHeight="1">
      <c r="E491" s="374"/>
      <c r="F491" s="374"/>
      <c r="G491" s="374"/>
      <c r="H491" s="374"/>
    </row>
    <row r="492" spans="5:8" ht="21" customHeight="1">
      <c r="E492" s="374"/>
      <c r="F492" s="374"/>
      <c r="G492" s="374"/>
      <c r="H492" s="374"/>
    </row>
    <row r="493" spans="5:8" ht="21" customHeight="1">
      <c r="E493" s="374"/>
      <c r="F493" s="374"/>
      <c r="G493" s="374"/>
      <c r="H493" s="374"/>
    </row>
    <row r="494" spans="5:8" ht="21" customHeight="1">
      <c r="E494" s="374"/>
      <c r="F494" s="374"/>
      <c r="G494" s="374"/>
      <c r="H494" s="374"/>
    </row>
    <row r="495" spans="5:8" ht="21" customHeight="1">
      <c r="E495" s="374"/>
      <c r="F495" s="374"/>
      <c r="G495" s="374"/>
      <c r="H495" s="374"/>
    </row>
    <row r="496" spans="5:8" ht="21" customHeight="1">
      <c r="E496" s="374"/>
      <c r="F496" s="374"/>
      <c r="G496" s="374"/>
      <c r="H496" s="374"/>
    </row>
    <row r="497" spans="5:8" ht="21" customHeight="1">
      <c r="E497" s="374"/>
      <c r="F497" s="374"/>
      <c r="G497" s="374"/>
      <c r="H497" s="374"/>
    </row>
    <row r="498" spans="5:8" ht="21" customHeight="1">
      <c r="E498" s="374"/>
      <c r="F498" s="374"/>
      <c r="G498" s="374"/>
      <c r="H498" s="374"/>
    </row>
    <row r="499" spans="5:8" ht="21" customHeight="1">
      <c r="E499" s="374"/>
      <c r="F499" s="374"/>
      <c r="G499" s="374"/>
      <c r="H499" s="374"/>
    </row>
    <row r="500" spans="5:8" ht="21" customHeight="1">
      <c r="E500" s="374"/>
      <c r="F500" s="374"/>
      <c r="G500" s="374"/>
      <c r="H500" s="374"/>
    </row>
    <row r="501" spans="5:8" ht="21" customHeight="1">
      <c r="E501" s="374"/>
      <c r="F501" s="374"/>
      <c r="G501" s="374"/>
      <c r="H501" s="374"/>
    </row>
    <row r="502" spans="5:8" ht="21" customHeight="1">
      <c r="E502" s="374"/>
      <c r="F502" s="374"/>
      <c r="G502" s="374"/>
      <c r="H502" s="374"/>
    </row>
    <row r="503" spans="5:8" ht="21" customHeight="1">
      <c r="E503" s="374"/>
      <c r="F503" s="374"/>
      <c r="G503" s="374"/>
      <c r="H503" s="374"/>
    </row>
    <row r="504" spans="5:8" ht="21" customHeight="1">
      <c r="E504" s="374"/>
      <c r="F504" s="374"/>
      <c r="G504" s="374"/>
      <c r="H504" s="374"/>
    </row>
    <row r="505" spans="5:8" ht="21" customHeight="1">
      <c r="E505" s="374"/>
      <c r="F505" s="374"/>
      <c r="G505" s="374"/>
      <c r="H505" s="374"/>
    </row>
    <row r="506" spans="5:8" ht="21" customHeight="1">
      <c r="E506" s="374"/>
      <c r="F506" s="374"/>
      <c r="G506" s="374"/>
      <c r="H506" s="374"/>
    </row>
    <row r="507" spans="5:8" ht="21" customHeight="1">
      <c r="E507" s="374"/>
      <c r="F507" s="374"/>
      <c r="G507" s="374"/>
      <c r="H507" s="374"/>
    </row>
    <row r="508" spans="5:8" ht="21" customHeight="1">
      <c r="E508" s="374"/>
      <c r="F508" s="374"/>
      <c r="G508" s="374"/>
      <c r="H508" s="374"/>
    </row>
    <row r="509" spans="5:8" ht="21" customHeight="1">
      <c r="E509" s="374"/>
      <c r="F509" s="374"/>
      <c r="G509" s="374"/>
      <c r="H509" s="374"/>
    </row>
    <row r="510" spans="5:8" ht="21" customHeight="1">
      <c r="E510" s="374"/>
      <c r="F510" s="374"/>
      <c r="G510" s="374"/>
      <c r="H510" s="374"/>
    </row>
    <row r="511" spans="5:8" ht="21" customHeight="1">
      <c r="E511" s="374"/>
      <c r="F511" s="374"/>
      <c r="G511" s="374"/>
      <c r="H511" s="374"/>
    </row>
    <row r="512" spans="5:8" ht="21" customHeight="1">
      <c r="E512" s="374"/>
      <c r="F512" s="374"/>
      <c r="G512" s="374"/>
      <c r="H512" s="374"/>
    </row>
    <row r="513" spans="5:8" ht="21" customHeight="1">
      <c r="E513" s="374"/>
      <c r="F513" s="374"/>
      <c r="G513" s="374"/>
      <c r="H513" s="374"/>
    </row>
    <row r="514" spans="5:8" ht="21" customHeight="1">
      <c r="E514" s="374"/>
      <c r="F514" s="374"/>
      <c r="G514" s="374"/>
      <c r="H514" s="374"/>
    </row>
    <row r="515" spans="5:8" ht="21" customHeight="1">
      <c r="E515" s="374"/>
      <c r="F515" s="374"/>
      <c r="G515" s="374"/>
      <c r="H515" s="374"/>
    </row>
    <row r="516" spans="5:8" ht="21" customHeight="1">
      <c r="E516" s="374"/>
      <c r="F516" s="374"/>
      <c r="G516" s="374"/>
      <c r="H516" s="374"/>
    </row>
    <row r="517" spans="5:8" ht="21" customHeight="1">
      <c r="E517" s="374"/>
      <c r="F517" s="374"/>
      <c r="G517" s="374"/>
      <c r="H517" s="374"/>
    </row>
    <row r="518" spans="5:8" ht="21" customHeight="1">
      <c r="E518" s="374"/>
      <c r="F518" s="374"/>
      <c r="G518" s="374"/>
      <c r="H518" s="374"/>
    </row>
    <row r="519" spans="5:8" ht="21" customHeight="1">
      <c r="E519" s="374"/>
      <c r="F519" s="374"/>
      <c r="G519" s="374"/>
      <c r="H519" s="374"/>
    </row>
    <row r="520" spans="5:8" ht="21" customHeight="1">
      <c r="E520" s="374"/>
      <c r="F520" s="374"/>
      <c r="G520" s="374"/>
      <c r="H520" s="374"/>
    </row>
    <row r="521" spans="5:8" ht="21" customHeight="1">
      <c r="E521" s="374"/>
      <c r="F521" s="374"/>
      <c r="G521" s="374"/>
      <c r="H521" s="374"/>
    </row>
    <row r="522" spans="5:8" ht="21" customHeight="1">
      <c r="E522" s="374"/>
      <c r="F522" s="374"/>
      <c r="G522" s="374"/>
      <c r="H522" s="374"/>
    </row>
    <row r="523" spans="5:8" ht="21" customHeight="1">
      <c r="E523" s="374"/>
      <c r="F523" s="374"/>
      <c r="G523" s="374"/>
      <c r="H523" s="374"/>
    </row>
    <row r="524" spans="5:8" ht="21" customHeight="1">
      <c r="E524" s="374"/>
      <c r="F524" s="374"/>
      <c r="G524" s="374"/>
      <c r="H524" s="374"/>
    </row>
    <row r="525" spans="5:8" ht="21" customHeight="1">
      <c r="E525" s="374"/>
      <c r="F525" s="374"/>
      <c r="G525" s="374"/>
      <c r="H525" s="374"/>
    </row>
    <row r="526" spans="5:8" ht="21" customHeight="1">
      <c r="E526" s="374"/>
      <c r="F526" s="374"/>
      <c r="G526" s="374"/>
      <c r="H526" s="374"/>
    </row>
    <row r="527" spans="5:8" ht="21" customHeight="1">
      <c r="E527" s="374"/>
      <c r="F527" s="374"/>
      <c r="G527" s="374"/>
      <c r="H527" s="374"/>
    </row>
    <row r="528" spans="5:8" ht="21" customHeight="1">
      <c r="E528" s="374"/>
      <c r="F528" s="374"/>
      <c r="G528" s="374"/>
      <c r="H528" s="374"/>
    </row>
    <row r="529" spans="5:8" ht="21" customHeight="1">
      <c r="E529" s="374"/>
      <c r="F529" s="374"/>
      <c r="G529" s="374"/>
      <c r="H529" s="374"/>
    </row>
    <row r="530" spans="5:8" ht="21" customHeight="1">
      <c r="E530" s="374"/>
      <c r="F530" s="374"/>
      <c r="G530" s="374"/>
      <c r="H530" s="374"/>
    </row>
    <row r="531" spans="5:8" ht="21" customHeight="1">
      <c r="E531" s="374"/>
      <c r="F531" s="374"/>
      <c r="G531" s="374"/>
      <c r="H531" s="374"/>
    </row>
    <row r="532" spans="5:8" ht="21" customHeight="1">
      <c r="E532" s="374"/>
      <c r="F532" s="374"/>
      <c r="G532" s="374"/>
      <c r="H532" s="374"/>
    </row>
    <row r="533" spans="5:8" ht="21" customHeight="1">
      <c r="E533" s="374"/>
      <c r="F533" s="374"/>
      <c r="G533" s="374"/>
      <c r="H533" s="374"/>
    </row>
    <row r="534" spans="5:8" ht="21" customHeight="1">
      <c r="E534" s="374"/>
      <c r="F534" s="374"/>
      <c r="G534" s="374"/>
      <c r="H534" s="374"/>
    </row>
    <row r="535" spans="5:8" ht="21" customHeight="1">
      <c r="E535" s="374"/>
      <c r="F535" s="374"/>
      <c r="G535" s="374"/>
      <c r="H535" s="374"/>
    </row>
    <row r="536" spans="5:8" ht="21" customHeight="1">
      <c r="E536" s="374"/>
      <c r="F536" s="374"/>
      <c r="G536" s="374"/>
      <c r="H536" s="374"/>
    </row>
    <row r="537" spans="5:8" ht="21" customHeight="1">
      <c r="E537" s="374"/>
      <c r="F537" s="374"/>
      <c r="G537" s="374"/>
      <c r="H537" s="374"/>
    </row>
    <row r="538" spans="5:8" ht="21" customHeight="1">
      <c r="E538" s="374"/>
      <c r="F538" s="374"/>
      <c r="G538" s="374"/>
      <c r="H538" s="374"/>
    </row>
    <row r="539" spans="5:8" ht="21" customHeight="1">
      <c r="E539" s="374"/>
      <c r="F539" s="374"/>
      <c r="G539" s="374"/>
      <c r="H539" s="374"/>
    </row>
    <row r="540" spans="5:8" ht="21" customHeight="1">
      <c r="E540" s="374"/>
      <c r="F540" s="374"/>
      <c r="G540" s="374"/>
      <c r="H540" s="374"/>
    </row>
    <row r="541" spans="5:8" ht="21" customHeight="1">
      <c r="E541" s="374"/>
      <c r="F541" s="374"/>
      <c r="G541" s="374"/>
      <c r="H541" s="374"/>
    </row>
    <row r="542" spans="5:8" ht="21" customHeight="1">
      <c r="E542" s="374"/>
      <c r="F542" s="374"/>
      <c r="G542" s="374"/>
      <c r="H542" s="374"/>
    </row>
    <row r="543" spans="5:8" ht="21" customHeight="1">
      <c r="E543" s="374"/>
      <c r="F543" s="374"/>
      <c r="G543" s="374"/>
      <c r="H543" s="374"/>
    </row>
    <row r="544" spans="5:8" ht="21" customHeight="1">
      <c r="E544" s="374"/>
      <c r="F544" s="374"/>
      <c r="G544" s="374"/>
      <c r="H544" s="374"/>
    </row>
    <row r="545" spans="5:8" ht="21" customHeight="1">
      <c r="E545" s="374"/>
      <c r="F545" s="374"/>
      <c r="G545" s="374"/>
      <c r="H545" s="374"/>
    </row>
    <row r="546" spans="5:8" ht="21" customHeight="1">
      <c r="E546" s="374"/>
      <c r="F546" s="374"/>
      <c r="G546" s="374"/>
      <c r="H546" s="374"/>
    </row>
    <row r="547" spans="5:8" ht="21" customHeight="1">
      <c r="E547" s="374"/>
      <c r="F547" s="374"/>
      <c r="G547" s="374"/>
      <c r="H547" s="374"/>
    </row>
    <row r="548" spans="5:8" ht="21" customHeight="1">
      <c r="E548" s="374"/>
      <c r="F548" s="374"/>
      <c r="G548" s="374"/>
      <c r="H548" s="374"/>
    </row>
    <row r="549" spans="5:8" ht="21" customHeight="1">
      <c r="E549" s="374"/>
      <c r="F549" s="374"/>
      <c r="G549" s="374"/>
      <c r="H549" s="374"/>
    </row>
    <row r="550" spans="5:8" ht="21" customHeight="1">
      <c r="E550" s="374"/>
      <c r="F550" s="374"/>
      <c r="G550" s="374"/>
      <c r="H550" s="374"/>
    </row>
    <row r="551" spans="5:8" ht="21" customHeight="1">
      <c r="E551" s="374"/>
      <c r="F551" s="374"/>
      <c r="G551" s="374"/>
      <c r="H551" s="374"/>
    </row>
    <row r="552" spans="5:8" ht="21" customHeight="1">
      <c r="E552" s="374"/>
      <c r="F552" s="374"/>
      <c r="G552" s="374"/>
      <c r="H552" s="374"/>
    </row>
    <row r="553" spans="5:8" ht="21" customHeight="1">
      <c r="E553" s="374"/>
      <c r="F553" s="374"/>
      <c r="G553" s="374"/>
      <c r="H553" s="374"/>
    </row>
    <row r="554" spans="5:8" ht="21" customHeight="1">
      <c r="E554" s="374"/>
      <c r="F554" s="374"/>
      <c r="G554" s="374"/>
      <c r="H554" s="374"/>
    </row>
    <row r="555" spans="5:8" ht="21" customHeight="1">
      <c r="E555" s="374"/>
      <c r="F555" s="374"/>
      <c r="G555" s="374"/>
      <c r="H555" s="374"/>
    </row>
    <row r="556" spans="5:8" ht="21" customHeight="1">
      <c r="E556" s="374"/>
      <c r="F556" s="374"/>
      <c r="G556" s="374"/>
      <c r="H556" s="374"/>
    </row>
    <row r="557" spans="5:8" ht="21" customHeight="1">
      <c r="E557" s="374"/>
      <c r="F557" s="374"/>
      <c r="G557" s="374"/>
      <c r="H557" s="374"/>
    </row>
    <row r="558" spans="5:8" ht="21" customHeight="1">
      <c r="E558" s="374"/>
      <c r="F558" s="374"/>
      <c r="G558" s="374"/>
      <c r="H558" s="374"/>
    </row>
    <row r="559" spans="5:8" ht="21" customHeight="1">
      <c r="E559" s="374"/>
      <c r="F559" s="374"/>
      <c r="G559" s="374"/>
      <c r="H559" s="374"/>
    </row>
    <row r="560" spans="5:8" ht="21" customHeight="1">
      <c r="E560" s="374"/>
      <c r="F560" s="374"/>
      <c r="G560" s="374"/>
      <c r="H560" s="374"/>
    </row>
    <row r="561" spans="5:8" ht="21" customHeight="1">
      <c r="E561" s="374"/>
      <c r="F561" s="374"/>
      <c r="G561" s="374"/>
      <c r="H561" s="374"/>
    </row>
    <row r="562" spans="5:8" ht="21" customHeight="1">
      <c r="E562" s="374"/>
      <c r="F562" s="374"/>
      <c r="G562" s="374"/>
      <c r="H562" s="374"/>
    </row>
    <row r="563" spans="5:8" ht="21" customHeight="1">
      <c r="E563" s="374"/>
      <c r="F563" s="374"/>
      <c r="G563" s="374"/>
      <c r="H563" s="374"/>
    </row>
    <row r="564" spans="5:8" ht="21" customHeight="1">
      <c r="E564" s="374"/>
      <c r="F564" s="374"/>
      <c r="G564" s="374"/>
      <c r="H564" s="374"/>
    </row>
    <row r="565" spans="5:8" ht="21" customHeight="1">
      <c r="E565" s="374"/>
      <c r="F565" s="374"/>
      <c r="G565" s="374"/>
      <c r="H565" s="374"/>
    </row>
    <row r="566" spans="5:8" ht="21" customHeight="1">
      <c r="E566" s="374"/>
      <c r="F566" s="374"/>
      <c r="G566" s="374"/>
      <c r="H566" s="374"/>
    </row>
    <row r="567" spans="5:8" ht="21" customHeight="1">
      <c r="E567" s="374"/>
      <c r="F567" s="374"/>
      <c r="G567" s="374"/>
      <c r="H567" s="374"/>
    </row>
    <row r="568" spans="5:8" ht="21" customHeight="1">
      <c r="E568" s="374"/>
      <c r="F568" s="374"/>
      <c r="G568" s="374"/>
      <c r="H568" s="374"/>
    </row>
    <row r="569" spans="5:8" ht="21" customHeight="1">
      <c r="E569" s="374"/>
      <c r="F569" s="374"/>
      <c r="G569" s="374"/>
      <c r="H569" s="374"/>
    </row>
    <row r="570" spans="5:8" ht="21" customHeight="1">
      <c r="E570" s="374"/>
      <c r="F570" s="374"/>
      <c r="G570" s="374"/>
      <c r="H570" s="374"/>
    </row>
    <row r="571" spans="5:8" ht="21" customHeight="1">
      <c r="E571" s="374"/>
      <c r="F571" s="374"/>
      <c r="G571" s="374"/>
      <c r="H571" s="374"/>
    </row>
    <row r="572" spans="5:8" ht="21" customHeight="1">
      <c r="E572" s="374"/>
      <c r="F572" s="374"/>
      <c r="G572" s="374"/>
      <c r="H572" s="374"/>
    </row>
    <row r="573" spans="5:8" ht="21" customHeight="1">
      <c r="E573" s="374"/>
      <c r="F573" s="374"/>
      <c r="G573" s="374"/>
      <c r="H573" s="374"/>
    </row>
    <row r="574" spans="5:8" ht="21" customHeight="1">
      <c r="E574" s="374"/>
      <c r="F574" s="374"/>
      <c r="G574" s="374"/>
      <c r="H574" s="374"/>
    </row>
    <row r="575" spans="5:8" ht="21" customHeight="1">
      <c r="E575" s="374"/>
      <c r="F575" s="374"/>
      <c r="G575" s="374"/>
      <c r="H575" s="374"/>
    </row>
    <row r="576" spans="5:8" ht="21" customHeight="1">
      <c r="E576" s="374"/>
      <c r="F576" s="374"/>
      <c r="G576" s="374"/>
      <c r="H576" s="374"/>
    </row>
    <row r="577" spans="5:8" ht="21" customHeight="1">
      <c r="E577" s="374"/>
      <c r="F577" s="374"/>
      <c r="G577" s="374"/>
      <c r="H577" s="374"/>
    </row>
    <row r="578" spans="5:8" ht="21" customHeight="1">
      <c r="E578" s="374"/>
      <c r="F578" s="374"/>
      <c r="G578" s="374"/>
      <c r="H578" s="374"/>
    </row>
    <row r="579" spans="5:8" ht="21" customHeight="1">
      <c r="E579" s="374"/>
      <c r="F579" s="374"/>
      <c r="G579" s="374"/>
      <c r="H579" s="374"/>
    </row>
    <row r="580" spans="5:8" ht="21" customHeight="1">
      <c r="E580" s="374"/>
      <c r="F580" s="374"/>
      <c r="G580" s="374"/>
      <c r="H580" s="374"/>
    </row>
    <row r="581" spans="5:8" ht="21" customHeight="1">
      <c r="E581" s="374"/>
      <c r="F581" s="374"/>
      <c r="G581" s="374"/>
      <c r="H581" s="374"/>
    </row>
    <row r="582" spans="5:8" ht="21" customHeight="1">
      <c r="E582" s="374"/>
      <c r="F582" s="374"/>
      <c r="G582" s="374"/>
      <c r="H582" s="374"/>
    </row>
    <row r="583" spans="5:8" ht="21" customHeight="1">
      <c r="E583" s="374"/>
      <c r="F583" s="374"/>
      <c r="G583" s="374"/>
      <c r="H583" s="374"/>
    </row>
    <row r="584" spans="5:8" ht="21" customHeight="1">
      <c r="E584" s="374"/>
      <c r="F584" s="374"/>
      <c r="G584" s="374"/>
      <c r="H584" s="374"/>
    </row>
    <row r="585" spans="5:8" ht="21" customHeight="1">
      <c r="E585" s="374"/>
      <c r="F585" s="374"/>
      <c r="G585" s="374"/>
      <c r="H585" s="374"/>
    </row>
    <row r="586" spans="5:8" ht="21" customHeight="1">
      <c r="E586" s="374"/>
      <c r="F586" s="374"/>
      <c r="G586" s="374"/>
      <c r="H586" s="374"/>
    </row>
    <row r="587" spans="5:8" ht="21" customHeight="1">
      <c r="E587" s="374"/>
      <c r="F587" s="374"/>
      <c r="G587" s="374"/>
      <c r="H587" s="374"/>
    </row>
    <row r="588" spans="5:8" ht="21" customHeight="1">
      <c r="E588" s="374"/>
      <c r="F588" s="374"/>
      <c r="G588" s="374"/>
      <c r="H588" s="374"/>
    </row>
    <row r="589" spans="5:8" ht="21" customHeight="1">
      <c r="E589" s="374"/>
      <c r="F589" s="374"/>
      <c r="G589" s="374"/>
      <c r="H589" s="374"/>
    </row>
    <row r="590" spans="5:8" ht="21" customHeight="1">
      <c r="E590" s="374"/>
      <c r="F590" s="374"/>
      <c r="G590" s="374"/>
      <c r="H590" s="374"/>
    </row>
    <row r="591" spans="5:8" ht="21" customHeight="1">
      <c r="E591" s="374"/>
      <c r="F591" s="374"/>
      <c r="G591" s="374"/>
      <c r="H591" s="374"/>
    </row>
    <row r="592" spans="5:8" ht="21" customHeight="1">
      <c r="E592" s="374"/>
      <c r="F592" s="374"/>
      <c r="G592" s="374"/>
      <c r="H592" s="374"/>
    </row>
    <row r="593" spans="5:8" ht="21" customHeight="1">
      <c r="E593" s="374"/>
      <c r="F593" s="374"/>
      <c r="G593" s="374"/>
      <c r="H593" s="374"/>
    </row>
    <row r="594" spans="5:8" ht="21" customHeight="1">
      <c r="E594" s="374"/>
      <c r="F594" s="374"/>
      <c r="G594" s="374"/>
      <c r="H594" s="374"/>
    </row>
    <row r="595" spans="5:8" ht="21" customHeight="1">
      <c r="E595" s="374"/>
      <c r="F595" s="374"/>
      <c r="G595" s="374"/>
      <c r="H595" s="374"/>
    </row>
    <row r="596" spans="5:8" ht="21" customHeight="1">
      <c r="E596" s="374"/>
      <c r="F596" s="374"/>
      <c r="G596" s="374"/>
      <c r="H596" s="374"/>
    </row>
    <row r="597" spans="5:8" ht="21" customHeight="1">
      <c r="E597" s="374"/>
      <c r="F597" s="374"/>
      <c r="G597" s="374"/>
      <c r="H597" s="374"/>
    </row>
    <row r="598" spans="5:8" ht="21" customHeight="1">
      <c r="E598" s="374"/>
      <c r="F598" s="374"/>
      <c r="G598" s="374"/>
      <c r="H598" s="374"/>
    </row>
    <row r="599" spans="5:8" ht="21" customHeight="1">
      <c r="E599" s="374"/>
      <c r="F599" s="374"/>
      <c r="G599" s="374"/>
      <c r="H599" s="374"/>
    </row>
    <row r="600" spans="5:8" ht="21" customHeight="1">
      <c r="E600" s="374"/>
      <c r="F600" s="374"/>
      <c r="G600" s="374"/>
      <c r="H600" s="374"/>
    </row>
    <row r="601" spans="5:8" ht="21" customHeight="1">
      <c r="E601" s="374"/>
      <c r="F601" s="374"/>
      <c r="G601" s="374"/>
      <c r="H601" s="374"/>
    </row>
    <row r="602" spans="5:8" ht="21" customHeight="1">
      <c r="E602" s="374"/>
      <c r="F602" s="374"/>
      <c r="G602" s="374"/>
      <c r="H602" s="374"/>
    </row>
    <row r="603" spans="5:8" ht="21" customHeight="1">
      <c r="E603" s="374"/>
      <c r="F603" s="374"/>
      <c r="G603" s="374"/>
      <c r="H603" s="374"/>
    </row>
    <row r="604" spans="5:8" ht="21" customHeight="1">
      <c r="E604" s="374"/>
      <c r="F604" s="374"/>
      <c r="G604" s="374"/>
      <c r="H604" s="374"/>
    </row>
    <row r="605" spans="5:8" ht="21" customHeight="1">
      <c r="E605" s="374"/>
      <c r="F605" s="374"/>
      <c r="G605" s="374"/>
      <c r="H605" s="374"/>
    </row>
    <row r="606" spans="5:8" ht="21" customHeight="1">
      <c r="E606" s="374"/>
      <c r="F606" s="374"/>
      <c r="G606" s="374"/>
      <c r="H606" s="374"/>
    </row>
    <row r="607" spans="5:8" ht="21" customHeight="1">
      <c r="E607" s="374"/>
      <c r="F607" s="374"/>
      <c r="G607" s="374"/>
      <c r="H607" s="374"/>
    </row>
    <row r="608" spans="5:8" ht="21" customHeight="1">
      <c r="E608" s="374"/>
      <c r="F608" s="374"/>
      <c r="G608" s="374"/>
      <c r="H608" s="374"/>
    </row>
    <row r="609" spans="5:8" ht="21" customHeight="1">
      <c r="E609" s="374"/>
      <c r="F609" s="374"/>
      <c r="G609" s="374"/>
      <c r="H609" s="374"/>
    </row>
    <row r="610" spans="5:8" ht="21" customHeight="1">
      <c r="E610" s="374"/>
      <c r="F610" s="374"/>
      <c r="G610" s="374"/>
      <c r="H610" s="374"/>
    </row>
    <row r="611" spans="5:8" ht="21" customHeight="1">
      <c r="E611" s="374"/>
      <c r="F611" s="374"/>
      <c r="G611" s="374"/>
      <c r="H611" s="374"/>
    </row>
    <row r="612" spans="5:8" ht="21" customHeight="1">
      <c r="E612" s="374"/>
      <c r="F612" s="374"/>
      <c r="G612" s="374"/>
      <c r="H612" s="374"/>
    </row>
    <row r="613" spans="5:8" ht="21" customHeight="1">
      <c r="E613" s="374"/>
      <c r="F613" s="374"/>
      <c r="G613" s="374"/>
      <c r="H613" s="374"/>
    </row>
    <row r="614" spans="5:8" ht="21" customHeight="1">
      <c r="E614" s="374"/>
      <c r="F614" s="374"/>
      <c r="G614" s="374"/>
      <c r="H614" s="374"/>
    </row>
    <row r="615" spans="5:8" ht="21" customHeight="1">
      <c r="E615" s="374"/>
      <c r="F615" s="374"/>
      <c r="G615" s="374"/>
      <c r="H615" s="374"/>
    </row>
    <row r="616" spans="5:8" ht="21" customHeight="1">
      <c r="E616" s="374"/>
      <c r="F616" s="374"/>
      <c r="G616" s="374"/>
      <c r="H616" s="374"/>
    </row>
    <row r="617" spans="5:8" ht="21" customHeight="1">
      <c r="E617" s="374"/>
      <c r="F617" s="374"/>
      <c r="G617" s="374"/>
      <c r="H617" s="374"/>
    </row>
    <row r="618" spans="5:8" ht="21" customHeight="1">
      <c r="E618" s="374"/>
      <c r="F618" s="374"/>
      <c r="G618" s="374"/>
      <c r="H618" s="374"/>
    </row>
    <row r="619" spans="5:8" ht="21" customHeight="1">
      <c r="E619" s="374"/>
      <c r="F619" s="374"/>
      <c r="G619" s="374"/>
      <c r="H619" s="374"/>
    </row>
    <row r="620" spans="5:8" ht="21" customHeight="1">
      <c r="E620" s="374"/>
      <c r="F620" s="374"/>
      <c r="G620" s="374"/>
      <c r="H620" s="374"/>
    </row>
    <row r="621" spans="5:8" ht="21" customHeight="1">
      <c r="E621" s="374"/>
      <c r="F621" s="374"/>
      <c r="G621" s="374"/>
      <c r="H621" s="374"/>
    </row>
    <row r="622" spans="5:8" ht="21" customHeight="1">
      <c r="E622" s="374"/>
      <c r="F622" s="374"/>
      <c r="G622" s="374"/>
      <c r="H622" s="374"/>
    </row>
    <row r="623" spans="5:8" ht="21" customHeight="1">
      <c r="E623" s="374"/>
      <c r="F623" s="374"/>
      <c r="G623" s="374"/>
      <c r="H623" s="374"/>
    </row>
    <row r="624" spans="5:8" ht="21" customHeight="1">
      <c r="E624" s="374"/>
      <c r="F624" s="374"/>
      <c r="G624" s="374"/>
      <c r="H624" s="374"/>
    </row>
    <row r="625" spans="5:8" ht="21" customHeight="1">
      <c r="E625" s="374"/>
      <c r="F625" s="374"/>
      <c r="G625" s="374"/>
      <c r="H625" s="374"/>
    </row>
    <row r="626" spans="5:8" ht="21" customHeight="1">
      <c r="E626" s="374"/>
      <c r="F626" s="374"/>
      <c r="G626" s="374"/>
      <c r="H626" s="374"/>
    </row>
    <row r="627" spans="5:8" ht="21" customHeight="1">
      <c r="E627" s="374"/>
      <c r="F627" s="374"/>
      <c r="G627" s="374"/>
      <c r="H627" s="374"/>
    </row>
    <row r="628" spans="5:8" ht="21" customHeight="1">
      <c r="E628" s="374"/>
      <c r="F628" s="374"/>
      <c r="G628" s="374"/>
      <c r="H628" s="374"/>
    </row>
    <row r="629" spans="5:8" ht="21" customHeight="1">
      <c r="E629" s="374"/>
      <c r="F629" s="374"/>
      <c r="G629" s="374"/>
      <c r="H629" s="374"/>
    </row>
    <row r="630" spans="5:8" ht="21" customHeight="1">
      <c r="E630" s="374"/>
      <c r="F630" s="374"/>
      <c r="G630" s="374"/>
      <c r="H630" s="374"/>
    </row>
    <row r="631" spans="5:8" ht="21" customHeight="1">
      <c r="E631" s="374"/>
      <c r="F631" s="374"/>
      <c r="G631" s="374"/>
      <c r="H631" s="374"/>
    </row>
    <row r="632" spans="5:8" ht="21" customHeight="1">
      <c r="E632" s="374"/>
      <c r="F632" s="374"/>
      <c r="G632" s="374"/>
      <c r="H632" s="374"/>
    </row>
    <row r="633" spans="5:8" ht="21" customHeight="1">
      <c r="E633" s="374"/>
      <c r="F633" s="374"/>
      <c r="G633" s="374"/>
      <c r="H633" s="374"/>
    </row>
    <row r="634" spans="5:8" ht="21" customHeight="1">
      <c r="E634" s="374"/>
      <c r="F634" s="374"/>
      <c r="G634" s="374"/>
      <c r="H634" s="374"/>
    </row>
    <row r="635" spans="5:8" ht="21" customHeight="1">
      <c r="E635" s="374"/>
      <c r="F635" s="374"/>
      <c r="G635" s="374"/>
      <c r="H635" s="374"/>
    </row>
    <row r="636" spans="5:8" ht="21" customHeight="1">
      <c r="E636" s="374"/>
      <c r="F636" s="374"/>
      <c r="G636" s="374"/>
      <c r="H636" s="374"/>
    </row>
    <row r="637" spans="5:8" ht="21" customHeight="1">
      <c r="E637" s="374"/>
      <c r="F637" s="374"/>
      <c r="G637" s="374"/>
      <c r="H637" s="374"/>
    </row>
    <row r="638" spans="5:8" ht="21" customHeight="1">
      <c r="E638" s="374"/>
      <c r="F638" s="374"/>
      <c r="G638" s="374"/>
      <c r="H638" s="374"/>
    </row>
    <row r="639" spans="5:8" ht="21" customHeight="1">
      <c r="E639" s="374"/>
      <c r="F639" s="374"/>
      <c r="G639" s="374"/>
      <c r="H639" s="374"/>
    </row>
    <row r="640" spans="5:8" ht="21" customHeight="1">
      <c r="E640" s="374"/>
      <c r="F640" s="374"/>
      <c r="G640" s="374"/>
      <c r="H640" s="374"/>
    </row>
    <row r="641" spans="5:8" ht="21" customHeight="1">
      <c r="E641" s="374"/>
      <c r="F641" s="374"/>
      <c r="G641" s="374"/>
      <c r="H641" s="374"/>
    </row>
    <row r="642" spans="5:8" ht="21" customHeight="1">
      <c r="E642" s="374"/>
      <c r="F642" s="374"/>
      <c r="G642" s="374"/>
      <c r="H642" s="374"/>
    </row>
    <row r="643" spans="5:8" ht="21" customHeight="1">
      <c r="E643" s="374"/>
      <c r="F643" s="374"/>
      <c r="G643" s="374"/>
      <c r="H643" s="374"/>
    </row>
    <row r="644" spans="5:8" ht="21" customHeight="1">
      <c r="E644" s="374"/>
      <c r="F644" s="374"/>
      <c r="G644" s="374"/>
      <c r="H644" s="374"/>
    </row>
    <row r="645" spans="5:8" ht="21" customHeight="1">
      <c r="E645" s="374"/>
      <c r="F645" s="374"/>
      <c r="G645" s="374"/>
      <c r="H645" s="374"/>
    </row>
    <row r="646" spans="5:8" ht="21" customHeight="1">
      <c r="E646" s="374"/>
      <c r="F646" s="374"/>
      <c r="G646" s="374"/>
      <c r="H646" s="374"/>
    </row>
    <row r="647" spans="5:8" ht="21" customHeight="1">
      <c r="E647" s="374"/>
      <c r="F647" s="374"/>
      <c r="G647" s="374"/>
      <c r="H647" s="374"/>
    </row>
    <row r="648" spans="5:8" ht="21" customHeight="1">
      <c r="E648" s="374"/>
      <c r="F648" s="374"/>
      <c r="G648" s="374"/>
      <c r="H648" s="374"/>
    </row>
    <row r="649" spans="5:8" ht="21" customHeight="1">
      <c r="E649" s="374"/>
      <c r="F649" s="374"/>
      <c r="G649" s="374"/>
      <c r="H649" s="374"/>
    </row>
    <row r="650" spans="5:8" ht="21" customHeight="1">
      <c r="E650" s="374"/>
      <c r="F650" s="374"/>
      <c r="G650" s="374"/>
      <c r="H650" s="374"/>
    </row>
    <row r="651" spans="5:8" ht="21" customHeight="1">
      <c r="E651" s="374"/>
      <c r="F651" s="374"/>
      <c r="G651" s="374"/>
      <c r="H651" s="374"/>
    </row>
    <row r="652" spans="5:8" ht="21" customHeight="1">
      <c r="E652" s="374"/>
      <c r="F652" s="374"/>
      <c r="G652" s="374"/>
      <c r="H652" s="374"/>
    </row>
    <row r="653" spans="5:8" ht="21" customHeight="1">
      <c r="E653" s="374"/>
      <c r="F653" s="374"/>
      <c r="G653" s="374"/>
      <c r="H653" s="374"/>
    </row>
    <row r="654" spans="5:8" ht="21" customHeight="1">
      <c r="E654" s="374"/>
      <c r="F654" s="374"/>
      <c r="G654" s="374"/>
      <c r="H654" s="374"/>
    </row>
    <row r="655" spans="5:8" ht="21" customHeight="1">
      <c r="E655" s="374"/>
      <c r="F655" s="374"/>
      <c r="G655" s="374"/>
      <c r="H655" s="374"/>
    </row>
    <row r="656" spans="5:8" ht="21" customHeight="1">
      <c r="E656" s="374"/>
      <c r="F656" s="374"/>
      <c r="G656" s="374"/>
      <c r="H656" s="374"/>
    </row>
    <row r="657" spans="5:8" ht="21" customHeight="1">
      <c r="E657" s="374"/>
      <c r="F657" s="374"/>
      <c r="G657" s="374"/>
      <c r="H657" s="374"/>
    </row>
    <row r="658" spans="5:8" ht="21" customHeight="1">
      <c r="E658" s="374"/>
      <c r="F658" s="374"/>
      <c r="G658" s="374"/>
      <c r="H658" s="374"/>
    </row>
    <row r="659" spans="5:8" ht="21" customHeight="1">
      <c r="E659" s="374"/>
      <c r="F659" s="374"/>
      <c r="G659" s="374"/>
      <c r="H659" s="374"/>
    </row>
    <row r="660" spans="5:8" ht="21" customHeight="1">
      <c r="E660" s="374"/>
      <c r="F660" s="374"/>
      <c r="G660" s="374"/>
      <c r="H660" s="374"/>
    </row>
    <row r="661" spans="5:8" ht="21" customHeight="1">
      <c r="E661" s="374"/>
      <c r="F661" s="374"/>
      <c r="G661" s="374"/>
      <c r="H661" s="374"/>
    </row>
    <row r="662" spans="5:8" ht="21" customHeight="1">
      <c r="E662" s="374"/>
      <c r="F662" s="374"/>
      <c r="G662" s="374"/>
      <c r="H662" s="374"/>
    </row>
    <row r="663" spans="5:8" ht="21" customHeight="1">
      <c r="E663" s="374"/>
      <c r="F663" s="374"/>
      <c r="G663" s="374"/>
      <c r="H663" s="374"/>
    </row>
    <row r="664" spans="5:8" ht="21" customHeight="1">
      <c r="E664" s="374"/>
      <c r="F664" s="374"/>
      <c r="G664" s="374"/>
      <c r="H664" s="374"/>
    </row>
    <row r="665" spans="5:8" ht="21" customHeight="1">
      <c r="E665" s="374"/>
      <c r="F665" s="374"/>
      <c r="G665" s="374"/>
      <c r="H665" s="374"/>
    </row>
    <row r="666" spans="5:8" ht="21" customHeight="1">
      <c r="E666" s="374"/>
      <c r="F666" s="374"/>
      <c r="G666" s="374"/>
      <c r="H666" s="374"/>
    </row>
    <row r="667" spans="5:8" ht="21" customHeight="1">
      <c r="E667" s="374"/>
      <c r="F667" s="374"/>
      <c r="G667" s="374"/>
      <c r="H667" s="374"/>
    </row>
    <row r="668" spans="5:8" ht="21" customHeight="1">
      <c r="E668" s="374"/>
      <c r="F668" s="374"/>
      <c r="G668" s="374"/>
      <c r="H668" s="374"/>
    </row>
    <row r="669" spans="5:8" ht="21" customHeight="1">
      <c r="E669" s="374"/>
      <c r="F669" s="374"/>
      <c r="G669" s="374"/>
      <c r="H669" s="374"/>
    </row>
    <row r="670" spans="5:8" ht="21" customHeight="1">
      <c r="E670" s="374"/>
      <c r="F670" s="374"/>
      <c r="G670" s="374"/>
      <c r="H670" s="374"/>
    </row>
    <row r="671" spans="5:8" ht="21" customHeight="1">
      <c r="E671" s="374"/>
      <c r="F671" s="374"/>
      <c r="G671" s="374"/>
      <c r="H671" s="374"/>
    </row>
    <row r="672" spans="5:8" ht="21" customHeight="1">
      <c r="E672" s="374"/>
      <c r="F672" s="374"/>
      <c r="G672" s="374"/>
      <c r="H672" s="374"/>
    </row>
    <row r="673" spans="5:8" ht="21" customHeight="1">
      <c r="E673" s="374"/>
      <c r="F673" s="374"/>
      <c r="G673" s="374"/>
      <c r="H673" s="374"/>
    </row>
    <row r="674" spans="5:8" ht="21" customHeight="1">
      <c r="E674" s="374"/>
      <c r="F674" s="374"/>
      <c r="G674" s="374"/>
      <c r="H674" s="374"/>
    </row>
    <row r="675" spans="5:8" ht="21" customHeight="1">
      <c r="E675" s="374"/>
      <c r="F675" s="374"/>
      <c r="G675" s="374"/>
      <c r="H675" s="374"/>
    </row>
    <row r="676" spans="5:8" ht="21" customHeight="1">
      <c r="E676" s="374"/>
      <c r="F676" s="374"/>
      <c r="G676" s="374"/>
      <c r="H676" s="374"/>
    </row>
    <row r="677" spans="5:8" ht="21" customHeight="1">
      <c r="E677" s="374"/>
      <c r="F677" s="374"/>
      <c r="G677" s="374"/>
      <c r="H677" s="374"/>
    </row>
    <row r="678" spans="5:8" ht="21" customHeight="1">
      <c r="E678" s="374"/>
      <c r="F678" s="374"/>
      <c r="G678" s="374"/>
      <c r="H678" s="374"/>
    </row>
    <row r="679" spans="5:8" ht="21" customHeight="1">
      <c r="E679" s="374"/>
      <c r="F679" s="374"/>
      <c r="G679" s="374"/>
      <c r="H679" s="374"/>
    </row>
    <row r="680" spans="5:8" ht="21" customHeight="1">
      <c r="E680" s="374"/>
      <c r="F680" s="374"/>
      <c r="G680" s="374"/>
      <c r="H680" s="374"/>
    </row>
    <row r="681" spans="5:8" ht="21" customHeight="1">
      <c r="E681" s="374"/>
      <c r="F681" s="374"/>
      <c r="G681" s="374"/>
      <c r="H681" s="374"/>
    </row>
    <row r="682" spans="5:8" ht="21" customHeight="1">
      <c r="E682" s="374"/>
      <c r="F682" s="374"/>
      <c r="G682" s="374"/>
      <c r="H682" s="374"/>
    </row>
    <row r="683" spans="5:8" ht="21" customHeight="1">
      <c r="E683" s="374"/>
      <c r="F683" s="374"/>
      <c r="G683" s="374"/>
      <c r="H683" s="374"/>
    </row>
    <row r="684" spans="5:8" ht="21" customHeight="1">
      <c r="E684" s="374"/>
      <c r="F684" s="374"/>
      <c r="G684" s="374"/>
      <c r="H684" s="374"/>
    </row>
    <row r="685" spans="5:8" ht="21" customHeight="1">
      <c r="E685" s="374"/>
      <c r="F685" s="374"/>
      <c r="G685" s="374"/>
      <c r="H685" s="374"/>
    </row>
    <row r="686" spans="5:8" ht="21" customHeight="1">
      <c r="E686" s="374"/>
      <c r="F686" s="374"/>
      <c r="G686" s="374"/>
      <c r="H686" s="374"/>
    </row>
    <row r="687" spans="5:8" ht="21" customHeight="1">
      <c r="E687" s="374"/>
      <c r="F687" s="374"/>
      <c r="G687" s="374"/>
      <c r="H687" s="374"/>
    </row>
    <row r="688" spans="5:8" ht="21" customHeight="1">
      <c r="E688" s="374"/>
      <c r="F688" s="374"/>
      <c r="G688" s="374"/>
      <c r="H688" s="374"/>
    </row>
    <row r="689" spans="5:8" ht="21" customHeight="1">
      <c r="E689" s="374"/>
      <c r="F689" s="374"/>
      <c r="G689" s="374"/>
      <c r="H689" s="374"/>
    </row>
    <row r="690" spans="5:8" ht="21" customHeight="1">
      <c r="E690" s="374"/>
      <c r="F690" s="374"/>
      <c r="G690" s="374"/>
      <c r="H690" s="374"/>
    </row>
    <row r="691" spans="5:8" ht="21" customHeight="1">
      <c r="E691" s="374"/>
      <c r="F691" s="374"/>
      <c r="G691" s="374"/>
      <c r="H691" s="374"/>
    </row>
    <row r="692" spans="5:8" ht="21" customHeight="1">
      <c r="E692" s="374"/>
      <c r="F692" s="374"/>
      <c r="G692" s="374"/>
      <c r="H692" s="374"/>
    </row>
    <row r="693" spans="5:8" ht="21" customHeight="1">
      <c r="E693" s="374"/>
      <c r="F693" s="374"/>
      <c r="G693" s="374"/>
      <c r="H693" s="374"/>
    </row>
    <row r="694" spans="5:8" ht="21" customHeight="1">
      <c r="E694" s="374"/>
      <c r="F694" s="374"/>
      <c r="G694" s="374"/>
      <c r="H694" s="374"/>
    </row>
    <row r="695" spans="5:8" ht="21" customHeight="1">
      <c r="E695" s="374"/>
      <c r="F695" s="374"/>
      <c r="G695" s="374"/>
      <c r="H695" s="374"/>
    </row>
    <row r="696" spans="5:8" ht="21" customHeight="1">
      <c r="E696" s="374"/>
      <c r="F696" s="374"/>
      <c r="G696" s="374"/>
      <c r="H696" s="374"/>
    </row>
    <row r="697" spans="5:8" ht="21" customHeight="1">
      <c r="E697" s="374"/>
      <c r="F697" s="374"/>
      <c r="G697" s="374"/>
      <c r="H697" s="374"/>
    </row>
    <row r="698" spans="5:8" ht="21" customHeight="1">
      <c r="E698" s="374"/>
      <c r="F698" s="374"/>
      <c r="G698" s="374"/>
      <c r="H698" s="374"/>
    </row>
    <row r="699" spans="5:8" ht="21" customHeight="1">
      <c r="E699" s="374"/>
      <c r="F699" s="374"/>
      <c r="G699" s="374"/>
      <c r="H699" s="374"/>
    </row>
    <row r="700" spans="5:8" ht="21" customHeight="1">
      <c r="E700" s="374"/>
      <c r="F700" s="374"/>
      <c r="G700" s="374"/>
      <c r="H700" s="374"/>
    </row>
    <row r="701" spans="5:8" ht="21" customHeight="1">
      <c r="E701" s="374"/>
      <c r="F701" s="374"/>
      <c r="G701" s="374"/>
      <c r="H701" s="374"/>
    </row>
    <row r="702" spans="5:8" ht="21" customHeight="1">
      <c r="E702" s="374"/>
      <c r="F702" s="374"/>
      <c r="G702" s="374"/>
      <c r="H702" s="374"/>
    </row>
    <row r="703" spans="5:8" ht="21" customHeight="1">
      <c r="E703" s="374"/>
      <c r="F703" s="374"/>
      <c r="G703" s="374"/>
      <c r="H703" s="374"/>
    </row>
    <row r="704" spans="5:8" ht="21" customHeight="1">
      <c r="E704" s="374"/>
      <c r="F704" s="374"/>
      <c r="G704" s="374"/>
      <c r="H704" s="374"/>
    </row>
    <row r="705" spans="5:8" ht="21" customHeight="1">
      <c r="E705" s="374"/>
      <c r="F705" s="374"/>
      <c r="G705" s="374"/>
      <c r="H705" s="374"/>
    </row>
    <row r="706" spans="5:8" ht="21" customHeight="1">
      <c r="E706" s="374"/>
      <c r="F706" s="374"/>
      <c r="G706" s="374"/>
      <c r="H706" s="374"/>
    </row>
    <row r="707" spans="5:8" ht="21" customHeight="1">
      <c r="E707" s="374"/>
      <c r="F707" s="374"/>
      <c r="G707" s="374"/>
      <c r="H707" s="374"/>
    </row>
    <row r="708" spans="5:8" ht="21" customHeight="1">
      <c r="E708" s="374"/>
      <c r="F708" s="374"/>
      <c r="G708" s="374"/>
      <c r="H708" s="374"/>
    </row>
    <row r="709" spans="5:8" ht="21" customHeight="1">
      <c r="E709" s="374"/>
      <c r="F709" s="374"/>
      <c r="G709" s="374"/>
      <c r="H709" s="374"/>
    </row>
    <row r="710" spans="5:8" ht="21" customHeight="1">
      <c r="E710" s="374"/>
      <c r="F710" s="374"/>
      <c r="G710" s="374"/>
      <c r="H710" s="374"/>
    </row>
    <row r="711" spans="5:8" ht="21" customHeight="1">
      <c r="E711" s="374"/>
      <c r="F711" s="374"/>
      <c r="G711" s="374"/>
      <c r="H711" s="374"/>
    </row>
    <row r="712" spans="5:8" ht="21" customHeight="1">
      <c r="E712" s="374"/>
      <c r="F712" s="374"/>
      <c r="G712" s="374"/>
      <c r="H712" s="374"/>
    </row>
    <row r="713" spans="5:8" ht="21" customHeight="1">
      <c r="E713" s="374"/>
      <c r="F713" s="374"/>
      <c r="G713" s="374"/>
      <c r="H713" s="374"/>
    </row>
    <row r="714" spans="5:8" ht="21" customHeight="1">
      <c r="E714" s="374"/>
      <c r="F714" s="374"/>
      <c r="G714" s="374"/>
      <c r="H714" s="374"/>
    </row>
    <row r="715" spans="5:8" ht="21" customHeight="1">
      <c r="E715" s="374"/>
      <c r="F715" s="374"/>
      <c r="G715" s="374"/>
      <c r="H715" s="374"/>
    </row>
    <row r="716" spans="5:8" ht="21" customHeight="1">
      <c r="E716" s="374"/>
      <c r="F716" s="374"/>
      <c r="G716" s="374"/>
      <c r="H716" s="374"/>
    </row>
    <row r="717" spans="5:8" ht="21" customHeight="1">
      <c r="E717" s="374"/>
      <c r="F717" s="374"/>
      <c r="G717" s="374"/>
      <c r="H717" s="374"/>
    </row>
    <row r="718" spans="5:8" ht="21" customHeight="1">
      <c r="E718" s="374"/>
      <c r="F718" s="374"/>
      <c r="G718" s="374"/>
      <c r="H718" s="374"/>
    </row>
    <row r="719" spans="5:8" ht="21" customHeight="1">
      <c r="E719" s="374"/>
      <c r="F719" s="374"/>
      <c r="G719" s="374"/>
      <c r="H719" s="374"/>
    </row>
    <row r="720" spans="5:8" ht="21" customHeight="1">
      <c r="E720" s="374"/>
      <c r="F720" s="374"/>
      <c r="G720" s="374"/>
      <c r="H720" s="374"/>
    </row>
    <row r="721" spans="5:8" ht="21" customHeight="1">
      <c r="E721" s="374"/>
      <c r="F721" s="374"/>
      <c r="G721" s="374"/>
      <c r="H721" s="374"/>
    </row>
    <row r="722" spans="5:8" ht="21" customHeight="1">
      <c r="E722" s="374"/>
      <c r="F722" s="374"/>
      <c r="G722" s="374"/>
      <c r="H722" s="374"/>
    </row>
    <row r="723" spans="5:8" ht="21" customHeight="1">
      <c r="E723" s="374"/>
      <c r="F723" s="374"/>
      <c r="G723" s="374"/>
      <c r="H723" s="374"/>
    </row>
    <row r="724" spans="5:8" ht="21" customHeight="1">
      <c r="E724" s="374"/>
      <c r="F724" s="374"/>
      <c r="G724" s="374"/>
      <c r="H724" s="374"/>
    </row>
    <row r="725" spans="5:8" ht="21" customHeight="1">
      <c r="E725" s="374"/>
      <c r="F725" s="374"/>
      <c r="G725" s="374"/>
      <c r="H725" s="374"/>
    </row>
    <row r="726" spans="5:8" ht="21" customHeight="1">
      <c r="E726" s="374"/>
      <c r="F726" s="374"/>
      <c r="G726" s="374"/>
      <c r="H726" s="374"/>
    </row>
    <row r="727" spans="5:8" ht="21" customHeight="1">
      <c r="E727" s="374"/>
      <c r="F727" s="374"/>
      <c r="G727" s="374"/>
      <c r="H727" s="374"/>
    </row>
    <row r="728" spans="5:8" ht="21" customHeight="1">
      <c r="E728" s="374"/>
      <c r="F728" s="374"/>
      <c r="G728" s="374"/>
      <c r="H728" s="374"/>
    </row>
    <row r="729" spans="5:8" ht="21" customHeight="1">
      <c r="E729" s="374"/>
      <c r="F729" s="374"/>
      <c r="G729" s="374"/>
      <c r="H729" s="374"/>
    </row>
    <row r="730" spans="5:8" ht="21" customHeight="1">
      <c r="E730" s="374"/>
      <c r="F730" s="374"/>
      <c r="G730" s="374"/>
      <c r="H730" s="374"/>
    </row>
    <row r="731" spans="5:8" ht="21" customHeight="1">
      <c r="E731" s="374"/>
      <c r="F731" s="374"/>
      <c r="G731" s="374"/>
      <c r="H731" s="374"/>
    </row>
    <row r="732" spans="5:8" ht="21" customHeight="1">
      <c r="E732" s="374"/>
      <c r="F732" s="374"/>
      <c r="G732" s="374"/>
      <c r="H732" s="374"/>
    </row>
    <row r="733" spans="5:8" ht="21" customHeight="1">
      <c r="E733" s="374"/>
      <c r="F733" s="374"/>
      <c r="G733" s="374"/>
      <c r="H733" s="374"/>
    </row>
    <row r="734" spans="5:8" ht="21" customHeight="1">
      <c r="E734" s="374"/>
      <c r="F734" s="374"/>
      <c r="G734" s="374"/>
      <c r="H734" s="374"/>
    </row>
    <row r="735" spans="5:8" ht="21" customHeight="1">
      <c r="E735" s="374"/>
      <c r="F735" s="374"/>
      <c r="G735" s="374"/>
      <c r="H735" s="374"/>
    </row>
    <row r="736" spans="5:8" ht="21" customHeight="1">
      <c r="E736" s="374"/>
      <c r="F736" s="374"/>
      <c r="G736" s="374"/>
      <c r="H736" s="374"/>
    </row>
    <row r="737" spans="5:8" ht="21" customHeight="1">
      <c r="E737" s="374"/>
      <c r="F737" s="374"/>
      <c r="G737" s="374"/>
      <c r="H737" s="374"/>
    </row>
    <row r="738" spans="5:8" ht="21" customHeight="1">
      <c r="E738" s="374"/>
      <c r="F738" s="374"/>
      <c r="G738" s="374"/>
      <c r="H738" s="374"/>
    </row>
    <row r="739" spans="5:8" ht="21" customHeight="1">
      <c r="E739" s="374"/>
      <c r="F739" s="374"/>
      <c r="G739" s="374"/>
      <c r="H739" s="374"/>
    </row>
    <row r="740" spans="5:8" ht="21" customHeight="1">
      <c r="E740" s="374"/>
      <c r="F740" s="374"/>
      <c r="G740" s="374"/>
      <c r="H740" s="374"/>
    </row>
    <row r="741" spans="5:8" ht="21" customHeight="1">
      <c r="E741" s="374"/>
      <c r="F741" s="374"/>
      <c r="G741" s="374"/>
      <c r="H741" s="374"/>
    </row>
    <row r="742" spans="5:8" ht="21" customHeight="1">
      <c r="E742" s="374"/>
      <c r="F742" s="374"/>
      <c r="G742" s="374"/>
      <c r="H742" s="374"/>
    </row>
    <row r="743" spans="5:8" ht="21" customHeight="1">
      <c r="E743" s="374"/>
      <c r="F743" s="374"/>
      <c r="G743" s="374"/>
      <c r="H743" s="374"/>
    </row>
    <row r="744" spans="5:8" ht="21" customHeight="1">
      <c r="E744" s="374"/>
      <c r="F744" s="374"/>
      <c r="G744" s="374"/>
      <c r="H744" s="374"/>
    </row>
    <row r="745" spans="5:8" ht="21" customHeight="1">
      <c r="E745" s="374"/>
      <c r="F745" s="374"/>
      <c r="G745" s="374"/>
      <c r="H745" s="374"/>
    </row>
    <row r="746" spans="5:8" ht="21" customHeight="1">
      <c r="E746" s="374"/>
      <c r="F746" s="374"/>
      <c r="G746" s="374"/>
      <c r="H746" s="374"/>
    </row>
    <row r="747" spans="5:8" ht="21" customHeight="1">
      <c r="E747" s="374"/>
      <c r="F747" s="374"/>
      <c r="G747" s="374"/>
      <c r="H747" s="374"/>
    </row>
    <row r="748" spans="5:8" ht="21" customHeight="1">
      <c r="E748" s="374"/>
      <c r="F748" s="374"/>
      <c r="G748" s="374"/>
      <c r="H748" s="374"/>
    </row>
    <row r="749" spans="5:8" ht="21" customHeight="1">
      <c r="E749" s="374"/>
      <c r="F749" s="374"/>
      <c r="G749" s="374"/>
      <c r="H749" s="374"/>
    </row>
    <row r="750" spans="5:8" ht="21" customHeight="1">
      <c r="E750" s="374"/>
      <c r="F750" s="374"/>
      <c r="G750" s="374"/>
      <c r="H750" s="374"/>
    </row>
    <row r="751" spans="5:8" ht="21" customHeight="1">
      <c r="E751" s="374"/>
      <c r="F751" s="374"/>
      <c r="G751" s="374"/>
      <c r="H751" s="374"/>
    </row>
    <row r="752" spans="5:8" ht="21" customHeight="1">
      <c r="E752" s="374"/>
      <c r="F752" s="374"/>
      <c r="G752" s="374"/>
      <c r="H752" s="374"/>
    </row>
    <row r="753" spans="5:8" ht="21" customHeight="1">
      <c r="E753" s="374"/>
      <c r="F753" s="374"/>
      <c r="G753" s="374"/>
      <c r="H753" s="374"/>
    </row>
    <row r="754" spans="5:8" ht="21" customHeight="1">
      <c r="E754" s="374"/>
      <c r="F754" s="374"/>
      <c r="G754" s="374"/>
      <c r="H754" s="374"/>
    </row>
    <row r="755" spans="5:8" ht="21" customHeight="1">
      <c r="E755" s="374"/>
      <c r="F755" s="374"/>
      <c r="G755" s="374"/>
      <c r="H755" s="374"/>
    </row>
    <row r="756" spans="5:8" ht="21" customHeight="1">
      <c r="E756" s="374"/>
      <c r="F756" s="374"/>
      <c r="G756" s="374"/>
      <c r="H756" s="374"/>
    </row>
    <row r="757" spans="5:8" ht="21" customHeight="1">
      <c r="E757" s="374"/>
      <c r="F757" s="374"/>
      <c r="G757" s="374"/>
      <c r="H757" s="374"/>
    </row>
    <row r="758" spans="5:8" ht="21" customHeight="1">
      <c r="E758" s="374"/>
      <c r="F758" s="374"/>
      <c r="G758" s="374"/>
      <c r="H758" s="374"/>
    </row>
    <row r="759" spans="5:8" ht="21" customHeight="1">
      <c r="E759" s="374"/>
      <c r="F759" s="374"/>
      <c r="G759" s="374"/>
      <c r="H759" s="374"/>
    </row>
    <row r="760" spans="5:8" ht="21" customHeight="1">
      <c r="E760" s="374"/>
      <c r="F760" s="374"/>
      <c r="G760" s="374"/>
      <c r="H760" s="374"/>
    </row>
    <row r="761" spans="5:8" ht="21" customHeight="1">
      <c r="E761" s="374"/>
      <c r="F761" s="374"/>
      <c r="G761" s="374"/>
      <c r="H761" s="374"/>
    </row>
    <row r="762" spans="5:8" ht="21" customHeight="1">
      <c r="E762" s="374"/>
      <c r="F762" s="374"/>
      <c r="G762" s="374"/>
      <c r="H762" s="374"/>
    </row>
    <row r="763" spans="5:8" ht="21" customHeight="1">
      <c r="E763" s="374"/>
      <c r="F763" s="374"/>
      <c r="G763" s="374"/>
      <c r="H763" s="374"/>
    </row>
    <row r="764" spans="5:8" ht="21" customHeight="1">
      <c r="E764" s="374"/>
      <c r="F764" s="374"/>
      <c r="G764" s="374"/>
      <c r="H764" s="374"/>
    </row>
    <row r="765" spans="5:8" ht="21" customHeight="1">
      <c r="E765" s="374"/>
      <c r="F765" s="374"/>
      <c r="G765" s="374"/>
      <c r="H765" s="374"/>
    </row>
    <row r="766" spans="5:8" ht="21" customHeight="1">
      <c r="E766" s="374"/>
      <c r="F766" s="374"/>
      <c r="G766" s="374"/>
      <c r="H766" s="374"/>
    </row>
    <row r="767" spans="5:8" ht="21" customHeight="1">
      <c r="E767" s="374"/>
      <c r="F767" s="374"/>
      <c r="G767" s="374"/>
      <c r="H767" s="374"/>
    </row>
    <row r="768" spans="5:8" ht="21" customHeight="1">
      <c r="E768" s="374"/>
      <c r="F768" s="374"/>
      <c r="G768" s="374"/>
      <c r="H768" s="374"/>
    </row>
    <row r="769" spans="5:8" ht="21" customHeight="1">
      <c r="E769" s="374"/>
      <c r="F769" s="374"/>
      <c r="G769" s="374"/>
      <c r="H769" s="374"/>
    </row>
    <row r="770" spans="5:8" ht="21" customHeight="1">
      <c r="E770" s="374"/>
      <c r="F770" s="374"/>
      <c r="G770" s="374"/>
      <c r="H770" s="374"/>
    </row>
    <row r="771" spans="5:8" ht="21" customHeight="1">
      <c r="E771" s="374"/>
      <c r="F771" s="374"/>
      <c r="G771" s="374"/>
      <c r="H771" s="374"/>
    </row>
    <row r="772" spans="5:8" ht="21" customHeight="1">
      <c r="E772" s="374"/>
      <c r="F772" s="374"/>
      <c r="G772" s="374"/>
      <c r="H772" s="374"/>
    </row>
    <row r="773" spans="5:8" ht="21" customHeight="1">
      <c r="E773" s="374"/>
      <c r="F773" s="374"/>
      <c r="G773" s="374"/>
      <c r="H773" s="374"/>
    </row>
    <row r="774" spans="5:8" ht="21" customHeight="1">
      <c r="E774" s="374"/>
      <c r="F774" s="374"/>
      <c r="G774" s="374"/>
      <c r="H774" s="374"/>
    </row>
    <row r="775" spans="5:8" ht="21" customHeight="1">
      <c r="E775" s="374"/>
      <c r="F775" s="374"/>
      <c r="G775" s="374"/>
      <c r="H775" s="374"/>
    </row>
    <row r="776" spans="5:8" ht="21" customHeight="1">
      <c r="E776" s="374"/>
      <c r="F776" s="374"/>
      <c r="G776" s="374"/>
      <c r="H776" s="374"/>
    </row>
    <row r="777" spans="5:8" ht="21" customHeight="1">
      <c r="E777" s="374"/>
      <c r="F777" s="374"/>
      <c r="G777" s="374"/>
      <c r="H777" s="374"/>
    </row>
    <row r="778" spans="5:8" ht="21" customHeight="1">
      <c r="E778" s="374"/>
      <c r="F778" s="374"/>
      <c r="G778" s="374"/>
      <c r="H778" s="374"/>
    </row>
    <row r="779" spans="5:8" ht="21" customHeight="1">
      <c r="E779" s="374"/>
      <c r="F779" s="374"/>
      <c r="G779" s="374"/>
      <c r="H779" s="374"/>
    </row>
    <row r="780" spans="5:8" ht="21" customHeight="1">
      <c r="E780" s="374"/>
      <c r="F780" s="374"/>
      <c r="G780" s="374"/>
      <c r="H780" s="374"/>
    </row>
    <row r="781" spans="5:8" ht="21" customHeight="1">
      <c r="E781" s="374"/>
      <c r="F781" s="374"/>
      <c r="G781" s="374"/>
      <c r="H781" s="374"/>
    </row>
    <row r="782" spans="5:8" ht="21" customHeight="1">
      <c r="E782" s="374"/>
      <c r="F782" s="374"/>
      <c r="G782" s="374"/>
      <c r="H782" s="374"/>
    </row>
    <row r="783" spans="5:8" ht="21" customHeight="1">
      <c r="E783" s="374"/>
      <c r="F783" s="374"/>
      <c r="G783" s="374"/>
      <c r="H783" s="374"/>
    </row>
    <row r="784" spans="5:8" ht="21" customHeight="1">
      <c r="E784" s="374"/>
      <c r="F784" s="374"/>
      <c r="G784" s="374"/>
      <c r="H784" s="374"/>
    </row>
    <row r="785" spans="5:8" ht="21" customHeight="1">
      <c r="E785" s="374"/>
      <c r="F785" s="374"/>
      <c r="G785" s="374"/>
      <c r="H785" s="374"/>
    </row>
    <row r="786" spans="5:8" ht="21" customHeight="1">
      <c r="E786" s="374"/>
      <c r="F786" s="374"/>
      <c r="G786" s="374"/>
      <c r="H786" s="374"/>
    </row>
    <row r="787" spans="5:8" ht="21" customHeight="1">
      <c r="E787" s="374"/>
      <c r="F787" s="374"/>
      <c r="G787" s="374"/>
      <c r="H787" s="374"/>
    </row>
    <row r="788" spans="5:8" ht="21" customHeight="1">
      <c r="E788" s="374"/>
      <c r="F788" s="374"/>
      <c r="G788" s="374"/>
      <c r="H788" s="374"/>
    </row>
    <row r="789" spans="5:8" ht="21" customHeight="1">
      <c r="E789" s="374"/>
      <c r="F789" s="374"/>
      <c r="G789" s="374"/>
      <c r="H789" s="374"/>
    </row>
    <row r="790" spans="5:8" ht="21" customHeight="1">
      <c r="E790" s="374"/>
      <c r="F790" s="374"/>
      <c r="G790" s="374"/>
      <c r="H790" s="374"/>
    </row>
    <row r="791" spans="5:8" ht="21" customHeight="1">
      <c r="E791" s="374"/>
      <c r="F791" s="374"/>
      <c r="G791" s="374"/>
      <c r="H791" s="374"/>
    </row>
    <row r="792" spans="5:8" ht="21" customHeight="1">
      <c r="E792" s="374"/>
      <c r="F792" s="374"/>
      <c r="G792" s="374"/>
      <c r="H792" s="374"/>
    </row>
    <row r="793" spans="5:8" ht="21" customHeight="1">
      <c r="E793" s="374"/>
      <c r="F793" s="374"/>
      <c r="G793" s="374"/>
      <c r="H793" s="374"/>
    </row>
    <row r="794" spans="5:8" ht="21" customHeight="1">
      <c r="E794" s="374"/>
      <c r="F794" s="374"/>
      <c r="G794" s="374"/>
      <c r="H794" s="374"/>
    </row>
    <row r="795" spans="5:8" ht="21" customHeight="1">
      <c r="E795" s="374"/>
      <c r="F795" s="374"/>
      <c r="G795" s="374"/>
      <c r="H795" s="374"/>
    </row>
    <row r="796" spans="5:8" ht="21" customHeight="1">
      <c r="E796" s="374"/>
      <c r="F796" s="374"/>
      <c r="G796" s="374"/>
      <c r="H796" s="374"/>
    </row>
    <row r="797" spans="5:8" ht="21" customHeight="1">
      <c r="E797" s="374"/>
      <c r="F797" s="374"/>
      <c r="G797" s="374"/>
      <c r="H797" s="374"/>
    </row>
    <row r="798" spans="5:8" ht="21" customHeight="1">
      <c r="E798" s="374"/>
      <c r="F798" s="374"/>
      <c r="G798" s="374"/>
      <c r="H798" s="374"/>
    </row>
    <row r="799" spans="5:8" ht="21" customHeight="1">
      <c r="E799" s="374"/>
      <c r="F799" s="374"/>
      <c r="G799" s="374"/>
      <c r="H799" s="374"/>
    </row>
    <row r="800" spans="5:8" ht="21" customHeight="1">
      <c r="E800" s="374"/>
      <c r="F800" s="374"/>
      <c r="G800" s="374"/>
      <c r="H800" s="374"/>
    </row>
    <row r="801" spans="5:8" ht="21" customHeight="1">
      <c r="E801" s="374"/>
      <c r="F801" s="374"/>
      <c r="G801" s="374"/>
      <c r="H801" s="374"/>
    </row>
    <row r="802" spans="5:8" ht="21" customHeight="1">
      <c r="E802" s="374"/>
      <c r="F802" s="374"/>
      <c r="G802" s="374"/>
      <c r="H802" s="374"/>
    </row>
    <row r="803" spans="5:8" ht="21" customHeight="1">
      <c r="E803" s="374"/>
      <c r="F803" s="374"/>
      <c r="G803" s="374"/>
      <c r="H803" s="374"/>
    </row>
    <row r="804" spans="5:8" ht="21" customHeight="1">
      <c r="E804" s="374"/>
      <c r="F804" s="374"/>
      <c r="G804" s="374"/>
      <c r="H804" s="374"/>
    </row>
    <row r="805" spans="5:8" ht="21" customHeight="1">
      <c r="E805" s="374"/>
      <c r="F805" s="374"/>
      <c r="G805" s="374"/>
      <c r="H805" s="374"/>
    </row>
    <row r="806" spans="5:8" ht="21" customHeight="1">
      <c r="E806" s="374"/>
      <c r="F806" s="374"/>
      <c r="G806" s="374"/>
      <c r="H806" s="374"/>
    </row>
    <row r="807" spans="5:8" ht="21" customHeight="1">
      <c r="E807" s="374"/>
      <c r="F807" s="374"/>
      <c r="G807" s="374"/>
      <c r="H807" s="374"/>
    </row>
    <row r="808" spans="5:8" ht="21" customHeight="1">
      <c r="E808" s="374"/>
      <c r="F808" s="374"/>
      <c r="G808" s="374"/>
      <c r="H808" s="374"/>
    </row>
    <row r="809" spans="5:8" ht="21" customHeight="1">
      <c r="E809" s="374"/>
      <c r="F809" s="374"/>
      <c r="G809" s="374"/>
      <c r="H809" s="374"/>
    </row>
    <row r="810" spans="5:8" ht="21" customHeight="1">
      <c r="E810" s="374"/>
      <c r="F810" s="374"/>
      <c r="G810" s="374"/>
      <c r="H810" s="374"/>
    </row>
    <row r="811" spans="5:8" ht="21" customHeight="1">
      <c r="E811" s="374"/>
      <c r="F811" s="374"/>
      <c r="G811" s="374"/>
      <c r="H811" s="374"/>
    </row>
    <row r="812" spans="5:8" ht="21" customHeight="1">
      <c r="E812" s="374"/>
      <c r="F812" s="374"/>
      <c r="G812" s="374"/>
      <c r="H812" s="374"/>
    </row>
    <row r="813" spans="5:8" ht="21" customHeight="1">
      <c r="E813" s="374"/>
      <c r="F813" s="374"/>
      <c r="G813" s="374"/>
      <c r="H813" s="374"/>
    </row>
    <row r="814" spans="5:8" ht="21" customHeight="1">
      <c r="E814" s="374"/>
      <c r="F814" s="374"/>
      <c r="G814" s="374"/>
      <c r="H814" s="374"/>
    </row>
    <row r="815" spans="5:8" ht="21" customHeight="1">
      <c r="E815" s="374"/>
      <c r="F815" s="374"/>
      <c r="G815" s="374"/>
      <c r="H815" s="374"/>
    </row>
    <row r="816" spans="5:8" ht="21" customHeight="1">
      <c r="E816" s="374"/>
      <c r="F816" s="374"/>
      <c r="G816" s="374"/>
      <c r="H816" s="374"/>
    </row>
    <row r="817" spans="5:8" ht="21" customHeight="1">
      <c r="E817" s="374"/>
      <c r="F817" s="374"/>
      <c r="G817" s="374"/>
      <c r="H817" s="374"/>
    </row>
    <row r="818" spans="5:8" ht="21" customHeight="1">
      <c r="E818" s="374"/>
      <c r="F818" s="374"/>
      <c r="G818" s="374"/>
      <c r="H818" s="374"/>
    </row>
    <row r="819" spans="5:8" ht="21" customHeight="1">
      <c r="E819" s="374"/>
      <c r="F819" s="374"/>
      <c r="G819" s="374"/>
      <c r="H819" s="374"/>
    </row>
    <row r="820" spans="5:8" ht="21" customHeight="1">
      <c r="E820" s="374"/>
      <c r="F820" s="374"/>
      <c r="G820" s="374"/>
      <c r="H820" s="374"/>
    </row>
    <row r="821" spans="5:8" ht="21" customHeight="1">
      <c r="E821" s="374"/>
      <c r="F821" s="374"/>
      <c r="G821" s="374"/>
      <c r="H821" s="374"/>
    </row>
    <row r="822" spans="5:8" ht="21" customHeight="1">
      <c r="E822" s="374"/>
      <c r="F822" s="374"/>
      <c r="G822" s="374"/>
      <c r="H822" s="374"/>
    </row>
    <row r="823" spans="5:8" ht="21" customHeight="1">
      <c r="E823" s="374"/>
      <c r="F823" s="374"/>
      <c r="G823" s="374"/>
      <c r="H823" s="374"/>
    </row>
    <row r="824" spans="5:8" ht="21" customHeight="1">
      <c r="E824" s="374"/>
      <c r="F824" s="374"/>
      <c r="G824" s="374"/>
      <c r="H824" s="374"/>
    </row>
    <row r="825" spans="5:8" ht="21" customHeight="1">
      <c r="E825" s="374"/>
      <c r="F825" s="374"/>
      <c r="G825" s="374"/>
      <c r="H825" s="374"/>
    </row>
    <row r="826" spans="5:8" ht="21" customHeight="1">
      <c r="E826" s="374"/>
      <c r="F826" s="374"/>
      <c r="G826" s="374"/>
      <c r="H826" s="374"/>
    </row>
    <row r="827" spans="5:8" ht="21" customHeight="1">
      <c r="E827" s="374"/>
      <c r="F827" s="374"/>
      <c r="G827" s="374"/>
      <c r="H827" s="374"/>
    </row>
    <row r="828" spans="5:8" ht="21" customHeight="1">
      <c r="E828" s="374"/>
      <c r="F828" s="374"/>
      <c r="G828" s="374"/>
      <c r="H828" s="374"/>
    </row>
    <row r="829" spans="5:8" ht="21" customHeight="1">
      <c r="E829" s="374"/>
      <c r="F829" s="374"/>
      <c r="G829" s="374"/>
      <c r="H829" s="374"/>
    </row>
    <row r="830" spans="5:8" ht="21" customHeight="1">
      <c r="E830" s="374"/>
      <c r="F830" s="374"/>
      <c r="G830" s="374"/>
      <c r="H830" s="374"/>
    </row>
    <row r="831" spans="5:8" ht="21" customHeight="1">
      <c r="E831" s="374"/>
      <c r="F831" s="374"/>
      <c r="G831" s="374"/>
      <c r="H831" s="374"/>
    </row>
    <row r="832" spans="5:8" ht="21" customHeight="1">
      <c r="E832" s="374"/>
      <c r="F832" s="374"/>
      <c r="G832" s="374"/>
      <c r="H832" s="374"/>
    </row>
    <row r="833" spans="5:8" ht="21" customHeight="1">
      <c r="E833" s="374"/>
      <c r="F833" s="374"/>
      <c r="G833" s="374"/>
      <c r="H833" s="374"/>
    </row>
    <row r="834" spans="5:8" ht="21" customHeight="1">
      <c r="E834" s="374"/>
      <c r="F834" s="374"/>
      <c r="G834" s="374"/>
      <c r="H834" s="374"/>
    </row>
    <row r="835" spans="5:8" ht="21" customHeight="1">
      <c r="E835" s="374"/>
      <c r="F835" s="374"/>
      <c r="G835" s="374"/>
      <c r="H835" s="374"/>
    </row>
    <row r="836" spans="5:8" ht="21" customHeight="1">
      <c r="E836" s="374"/>
      <c r="F836" s="374"/>
      <c r="G836" s="374"/>
      <c r="H836" s="374"/>
    </row>
    <row r="837" spans="5:8" ht="21" customHeight="1">
      <c r="E837" s="374"/>
      <c r="F837" s="374"/>
      <c r="G837" s="374"/>
      <c r="H837" s="374"/>
    </row>
    <row r="838" spans="5:8" ht="21" customHeight="1">
      <c r="E838" s="374"/>
      <c r="F838" s="374"/>
      <c r="G838" s="374"/>
      <c r="H838" s="374"/>
    </row>
    <row r="839" spans="5:8" ht="21" customHeight="1">
      <c r="E839" s="374"/>
      <c r="F839" s="374"/>
      <c r="G839" s="374"/>
      <c r="H839" s="374"/>
    </row>
    <row r="840" spans="5:8" ht="21" customHeight="1">
      <c r="E840" s="374"/>
      <c r="F840" s="374"/>
      <c r="G840" s="374"/>
      <c r="H840" s="374"/>
    </row>
    <row r="841" spans="5:8" ht="21" customHeight="1">
      <c r="E841" s="374"/>
      <c r="F841" s="374"/>
      <c r="G841" s="374"/>
      <c r="H841" s="374"/>
    </row>
    <row r="842" spans="5:8" ht="21" customHeight="1">
      <c r="E842" s="374"/>
      <c r="F842" s="374"/>
      <c r="G842" s="374"/>
      <c r="H842" s="374"/>
    </row>
    <row r="843" spans="5:8" ht="21" customHeight="1">
      <c r="E843" s="374"/>
      <c r="F843" s="374"/>
      <c r="G843" s="374"/>
      <c r="H843" s="374"/>
    </row>
    <row r="844" spans="5:8" ht="21" customHeight="1">
      <c r="E844" s="374"/>
      <c r="F844" s="374"/>
      <c r="G844" s="374"/>
      <c r="H844" s="374"/>
    </row>
    <row r="845" spans="5:8" ht="21" customHeight="1">
      <c r="E845" s="374"/>
      <c r="F845" s="374"/>
      <c r="G845" s="374"/>
      <c r="H845" s="374"/>
    </row>
    <row r="846" spans="5:8" ht="21" customHeight="1">
      <c r="E846" s="374"/>
      <c r="F846" s="374"/>
      <c r="G846" s="374"/>
      <c r="H846" s="374"/>
    </row>
    <row r="847" spans="5:8" ht="21" customHeight="1">
      <c r="E847" s="374"/>
      <c r="F847" s="374"/>
      <c r="G847" s="374"/>
      <c r="H847" s="374"/>
    </row>
    <row r="848" spans="5:8" ht="21" customHeight="1">
      <c r="E848" s="374"/>
      <c r="F848" s="374"/>
      <c r="G848" s="374"/>
      <c r="H848" s="374"/>
    </row>
    <row r="849" spans="5:8" ht="21" customHeight="1">
      <c r="E849" s="374"/>
      <c r="F849" s="374"/>
      <c r="G849" s="374"/>
      <c r="H849" s="374"/>
    </row>
    <row r="850" spans="5:8" ht="21" customHeight="1">
      <c r="E850" s="374"/>
      <c r="F850" s="374"/>
      <c r="G850" s="374"/>
      <c r="H850" s="374"/>
    </row>
    <row r="851" spans="5:8" ht="21" customHeight="1">
      <c r="E851" s="374"/>
      <c r="F851" s="374"/>
      <c r="G851" s="374"/>
      <c r="H851" s="374"/>
    </row>
    <row r="852" spans="5:8" ht="21" customHeight="1">
      <c r="E852" s="374"/>
      <c r="F852" s="374"/>
      <c r="G852" s="374"/>
      <c r="H852" s="374"/>
    </row>
    <row r="853" spans="5:8" ht="21" customHeight="1">
      <c r="E853" s="374"/>
      <c r="F853" s="374"/>
      <c r="G853" s="374"/>
      <c r="H853" s="374"/>
    </row>
    <row r="854" spans="5:8" ht="21" customHeight="1">
      <c r="E854" s="374"/>
      <c r="F854" s="374"/>
      <c r="G854" s="374"/>
      <c r="H854" s="374"/>
    </row>
    <row r="855" spans="5:8" ht="21" customHeight="1">
      <c r="E855" s="374"/>
      <c r="F855" s="374"/>
      <c r="G855" s="374"/>
      <c r="H855" s="374"/>
    </row>
    <row r="856" spans="5:8" ht="21" customHeight="1">
      <c r="E856" s="374"/>
      <c r="F856" s="374"/>
      <c r="G856" s="374"/>
      <c r="H856" s="374"/>
    </row>
    <row r="857" spans="5:8" ht="21" customHeight="1">
      <c r="E857" s="374"/>
      <c r="F857" s="374"/>
      <c r="G857" s="374"/>
      <c r="H857" s="374"/>
    </row>
    <row r="858" spans="5:8" ht="21" customHeight="1">
      <c r="E858" s="374"/>
      <c r="F858" s="374"/>
      <c r="G858" s="374"/>
      <c r="H858" s="374"/>
    </row>
    <row r="859" spans="5:8" ht="21" customHeight="1">
      <c r="E859" s="374"/>
      <c r="F859" s="374"/>
      <c r="G859" s="374"/>
      <c r="H859" s="374"/>
    </row>
    <row r="860" spans="5:8" ht="21" customHeight="1">
      <c r="E860" s="374"/>
      <c r="F860" s="374"/>
      <c r="G860" s="374"/>
      <c r="H860" s="374"/>
    </row>
    <row r="861" spans="5:8" ht="21" customHeight="1">
      <c r="E861" s="374"/>
      <c r="F861" s="374"/>
      <c r="G861" s="374"/>
      <c r="H861" s="374"/>
    </row>
    <row r="862" spans="5:8" ht="21" customHeight="1">
      <c r="E862" s="374"/>
      <c r="F862" s="374"/>
      <c r="G862" s="374"/>
      <c r="H862" s="374"/>
    </row>
    <row r="863" spans="5:8" ht="21" customHeight="1">
      <c r="E863" s="374"/>
      <c r="F863" s="374"/>
      <c r="G863" s="374"/>
      <c r="H863" s="374"/>
    </row>
    <row r="864" spans="5:8" ht="21" customHeight="1">
      <c r="E864" s="374"/>
      <c r="F864" s="374"/>
      <c r="G864" s="374"/>
      <c r="H864" s="374"/>
    </row>
    <row r="865" spans="5:8" ht="21" customHeight="1">
      <c r="E865" s="374"/>
      <c r="F865" s="374"/>
      <c r="G865" s="374"/>
      <c r="H865" s="374"/>
    </row>
    <row r="866" spans="5:8" ht="21" customHeight="1">
      <c r="E866" s="374"/>
      <c r="F866" s="374"/>
      <c r="G866" s="374"/>
      <c r="H866" s="374"/>
    </row>
    <row r="867" spans="5:8" ht="21" customHeight="1">
      <c r="E867" s="374"/>
      <c r="F867" s="374"/>
      <c r="G867" s="374"/>
      <c r="H867" s="374"/>
    </row>
    <row r="868" spans="5:8" ht="21" customHeight="1">
      <c r="E868" s="374"/>
      <c r="F868" s="374"/>
      <c r="G868" s="374"/>
      <c r="H868" s="374"/>
    </row>
    <row r="869" spans="5:8" ht="21" customHeight="1">
      <c r="E869" s="374"/>
      <c r="F869" s="374"/>
      <c r="G869" s="374"/>
      <c r="H869" s="374"/>
    </row>
    <row r="870" spans="5:8" ht="21" customHeight="1">
      <c r="E870" s="374"/>
      <c r="F870" s="374"/>
      <c r="G870" s="374"/>
      <c r="H870" s="374"/>
    </row>
    <row r="871" spans="5:8" ht="21" customHeight="1">
      <c r="E871" s="374"/>
      <c r="F871" s="374"/>
      <c r="G871" s="374"/>
      <c r="H871" s="374"/>
    </row>
    <row r="872" spans="5:8" ht="21" customHeight="1">
      <c r="E872" s="374"/>
      <c r="F872" s="374"/>
      <c r="G872" s="374"/>
      <c r="H872" s="374"/>
    </row>
    <row r="873" spans="5:8" ht="21" customHeight="1">
      <c r="E873" s="374"/>
      <c r="F873" s="374"/>
      <c r="G873" s="374"/>
      <c r="H873" s="374"/>
    </row>
    <row r="874" spans="5:8" ht="21" customHeight="1">
      <c r="E874" s="374"/>
      <c r="F874" s="374"/>
      <c r="G874" s="374"/>
      <c r="H874" s="374"/>
    </row>
    <row r="875" spans="5:8" ht="21" customHeight="1">
      <c r="E875" s="374"/>
      <c r="F875" s="374"/>
      <c r="G875" s="374"/>
      <c r="H875" s="374"/>
    </row>
    <row r="876" spans="5:8" ht="21" customHeight="1">
      <c r="E876" s="374"/>
      <c r="F876" s="374"/>
      <c r="G876" s="374"/>
      <c r="H876" s="374"/>
    </row>
    <row r="877" spans="5:8" ht="21" customHeight="1">
      <c r="E877" s="374"/>
      <c r="F877" s="374"/>
      <c r="G877" s="374"/>
      <c r="H877" s="374"/>
    </row>
    <row r="878" spans="5:8" ht="21" customHeight="1">
      <c r="E878" s="374"/>
      <c r="F878" s="374"/>
      <c r="G878" s="374"/>
      <c r="H878" s="374"/>
    </row>
    <row r="879" spans="5:8" ht="21" customHeight="1">
      <c r="E879" s="374"/>
      <c r="F879" s="374"/>
      <c r="G879" s="374"/>
      <c r="H879" s="374"/>
    </row>
    <row r="880" spans="5:8" ht="21" customHeight="1">
      <c r="E880" s="374"/>
      <c r="F880" s="374"/>
      <c r="G880" s="374"/>
      <c r="H880" s="374"/>
    </row>
    <row r="881" spans="5:8" ht="21" customHeight="1">
      <c r="E881" s="374"/>
      <c r="F881" s="374"/>
      <c r="G881" s="374"/>
      <c r="H881" s="374"/>
    </row>
    <row r="882" spans="5:8" ht="21" customHeight="1">
      <c r="E882" s="374"/>
      <c r="F882" s="374"/>
      <c r="G882" s="374"/>
      <c r="H882" s="374"/>
    </row>
    <row r="883" spans="5:8" ht="21" customHeight="1">
      <c r="E883" s="374"/>
      <c r="F883" s="374"/>
      <c r="G883" s="374"/>
      <c r="H883" s="374"/>
    </row>
    <row r="884" spans="5:8" ht="21" customHeight="1">
      <c r="E884" s="374"/>
      <c r="F884" s="374"/>
      <c r="G884" s="374"/>
      <c r="H884" s="374"/>
    </row>
    <row r="885" spans="5:8" ht="21" customHeight="1">
      <c r="E885" s="374"/>
      <c r="F885" s="374"/>
      <c r="G885" s="374"/>
      <c r="H885" s="374"/>
    </row>
    <row r="886" spans="5:8" ht="21" customHeight="1">
      <c r="E886" s="374"/>
      <c r="F886" s="374"/>
      <c r="G886" s="374"/>
      <c r="H886" s="374"/>
    </row>
    <row r="887" spans="5:8" ht="21" customHeight="1">
      <c r="E887" s="374"/>
      <c r="F887" s="374"/>
      <c r="G887" s="374"/>
      <c r="H887" s="374"/>
    </row>
    <row r="888" spans="5:8" ht="21" customHeight="1">
      <c r="E888" s="374"/>
      <c r="F888" s="374"/>
      <c r="G888" s="374"/>
      <c r="H888" s="374"/>
    </row>
    <row r="889" spans="5:8" ht="21" customHeight="1">
      <c r="E889" s="374"/>
      <c r="F889" s="374"/>
      <c r="G889" s="374"/>
      <c r="H889" s="374"/>
    </row>
    <row r="890" spans="5:8" ht="21" customHeight="1">
      <c r="E890" s="374"/>
      <c r="F890" s="374"/>
      <c r="G890" s="374"/>
      <c r="H890" s="374"/>
    </row>
    <row r="891" spans="5:8" ht="21" customHeight="1">
      <c r="E891" s="374"/>
      <c r="F891" s="374"/>
      <c r="G891" s="374"/>
      <c r="H891" s="374"/>
    </row>
    <row r="892" spans="5:8" ht="21" customHeight="1">
      <c r="E892" s="374"/>
      <c r="F892" s="374"/>
      <c r="G892" s="374"/>
      <c r="H892" s="374"/>
    </row>
    <row r="893" spans="5:8" ht="21" customHeight="1">
      <c r="E893" s="374"/>
      <c r="F893" s="374"/>
      <c r="G893" s="374"/>
      <c r="H893" s="374"/>
    </row>
    <row r="894" spans="5:8" ht="21" customHeight="1">
      <c r="E894" s="374"/>
      <c r="F894" s="374"/>
      <c r="G894" s="374"/>
      <c r="H894" s="374"/>
    </row>
    <row r="895" spans="5:8" ht="21" customHeight="1">
      <c r="E895" s="374"/>
      <c r="F895" s="374"/>
      <c r="G895" s="374"/>
      <c r="H895" s="374"/>
    </row>
    <row r="896" spans="5:8" ht="21" customHeight="1">
      <c r="E896" s="374"/>
      <c r="F896" s="374"/>
      <c r="G896" s="374"/>
      <c r="H896" s="374"/>
    </row>
    <row r="897" spans="5:8" ht="21" customHeight="1">
      <c r="E897" s="374"/>
      <c r="F897" s="374"/>
      <c r="G897" s="374"/>
      <c r="H897" s="374"/>
    </row>
    <row r="898" spans="5:8" ht="21" customHeight="1">
      <c r="E898" s="374"/>
      <c r="F898" s="374"/>
      <c r="G898" s="374"/>
      <c r="H898" s="374"/>
    </row>
    <row r="899" spans="5:8" ht="21" customHeight="1">
      <c r="E899" s="374"/>
      <c r="F899" s="374"/>
      <c r="G899" s="374"/>
      <c r="H899" s="374"/>
    </row>
    <row r="900" spans="5:8" ht="21" customHeight="1">
      <c r="E900" s="374"/>
      <c r="F900" s="374"/>
      <c r="G900" s="374"/>
      <c r="H900" s="374"/>
    </row>
    <row r="901" spans="5:8" ht="21" customHeight="1">
      <c r="E901" s="374"/>
      <c r="F901" s="374"/>
      <c r="G901" s="374"/>
      <c r="H901" s="374"/>
    </row>
    <row r="902" spans="5:8" ht="21" customHeight="1">
      <c r="E902" s="374"/>
      <c r="F902" s="374"/>
      <c r="G902" s="374"/>
      <c r="H902" s="374"/>
    </row>
    <row r="903" spans="5:8" ht="21" customHeight="1">
      <c r="E903" s="374"/>
      <c r="F903" s="374"/>
      <c r="G903" s="374"/>
      <c r="H903" s="374"/>
    </row>
    <row r="904" spans="5:8" ht="21" customHeight="1">
      <c r="E904" s="374"/>
      <c r="F904" s="374"/>
      <c r="G904" s="374"/>
      <c r="H904" s="374"/>
    </row>
    <row r="905" spans="5:8" ht="21" customHeight="1">
      <c r="E905" s="374"/>
      <c r="F905" s="374"/>
      <c r="G905" s="374"/>
      <c r="H905" s="374"/>
    </row>
    <row r="906" spans="5:8" ht="21" customHeight="1">
      <c r="E906" s="374"/>
      <c r="F906" s="374"/>
      <c r="G906" s="374"/>
      <c r="H906" s="374"/>
    </row>
    <row r="907" spans="5:8" ht="21" customHeight="1">
      <c r="E907" s="374"/>
      <c r="F907" s="374"/>
      <c r="G907" s="374"/>
      <c r="H907" s="374"/>
    </row>
    <row r="908" spans="5:8" ht="21" customHeight="1">
      <c r="E908" s="374"/>
      <c r="F908" s="374"/>
      <c r="G908" s="374"/>
      <c r="H908" s="374"/>
    </row>
    <row r="909" spans="5:8" ht="21" customHeight="1">
      <c r="E909" s="374"/>
      <c r="F909" s="374"/>
      <c r="G909" s="374"/>
      <c r="H909" s="374"/>
    </row>
    <row r="910" spans="5:8" ht="21" customHeight="1">
      <c r="E910" s="374"/>
      <c r="F910" s="374"/>
      <c r="G910" s="374"/>
      <c r="H910" s="374"/>
    </row>
    <row r="911" spans="5:8" ht="21" customHeight="1">
      <c r="E911" s="374"/>
      <c r="F911" s="374"/>
      <c r="G911" s="374"/>
      <c r="H911" s="374"/>
    </row>
    <row r="912" spans="5:8" ht="21" customHeight="1">
      <c r="E912" s="374"/>
      <c r="F912" s="374"/>
      <c r="G912" s="374"/>
      <c r="H912" s="374"/>
    </row>
    <row r="913" spans="5:8" ht="21" customHeight="1">
      <c r="E913" s="374"/>
      <c r="F913" s="374"/>
      <c r="G913" s="374"/>
      <c r="H913" s="374"/>
    </row>
    <row r="914" spans="5:8" ht="21" customHeight="1">
      <c r="E914" s="374"/>
      <c r="F914" s="374"/>
      <c r="G914" s="374"/>
      <c r="H914" s="374"/>
    </row>
    <row r="915" spans="5:8" ht="21" customHeight="1">
      <c r="E915" s="374"/>
      <c r="F915" s="374"/>
      <c r="G915" s="374"/>
      <c r="H915" s="374"/>
    </row>
    <row r="916" spans="5:8" ht="21" customHeight="1">
      <c r="E916" s="374"/>
      <c r="F916" s="374"/>
      <c r="G916" s="374"/>
      <c r="H916" s="374"/>
    </row>
    <row r="917" spans="5:8" ht="21" customHeight="1">
      <c r="E917" s="374"/>
      <c r="F917" s="374"/>
      <c r="G917" s="374"/>
      <c r="H917" s="374"/>
    </row>
    <row r="918" spans="5:8" ht="21" customHeight="1">
      <c r="E918" s="374"/>
      <c r="F918" s="374"/>
      <c r="G918" s="374"/>
      <c r="H918" s="374"/>
    </row>
    <row r="919" spans="5:8" ht="21" customHeight="1">
      <c r="E919" s="374"/>
      <c r="F919" s="374"/>
      <c r="G919" s="374"/>
      <c r="H919" s="374"/>
    </row>
    <row r="920" spans="5:8" ht="21" customHeight="1">
      <c r="E920" s="374"/>
      <c r="F920" s="374"/>
      <c r="G920" s="374"/>
      <c r="H920" s="374"/>
    </row>
    <row r="921" spans="5:8" ht="21" customHeight="1">
      <c r="E921" s="374"/>
      <c r="F921" s="374"/>
      <c r="G921" s="374"/>
      <c r="H921" s="374"/>
    </row>
    <row r="922" spans="5:8" ht="21" customHeight="1">
      <c r="E922" s="374"/>
      <c r="F922" s="374"/>
      <c r="G922" s="374"/>
      <c r="H922" s="374"/>
    </row>
    <row r="923" spans="5:8" ht="21" customHeight="1">
      <c r="E923" s="374"/>
      <c r="F923" s="374"/>
      <c r="G923" s="374"/>
      <c r="H923" s="374"/>
    </row>
    <row r="924" spans="5:8" ht="21" customHeight="1">
      <c r="E924" s="374"/>
      <c r="F924" s="374"/>
      <c r="G924" s="374"/>
      <c r="H924" s="374"/>
    </row>
    <row r="925" spans="5:8" ht="21" customHeight="1">
      <c r="E925" s="374"/>
      <c r="F925" s="374"/>
      <c r="G925" s="374"/>
      <c r="H925" s="374"/>
    </row>
    <row r="926" spans="5:8" ht="21" customHeight="1">
      <c r="E926" s="374"/>
      <c r="F926" s="374"/>
      <c r="G926" s="374"/>
      <c r="H926" s="374"/>
    </row>
    <row r="927" spans="5:8" ht="21" customHeight="1">
      <c r="E927" s="374"/>
      <c r="F927" s="374"/>
      <c r="G927" s="374"/>
      <c r="H927" s="374"/>
    </row>
    <row r="928" spans="5:8" ht="21" customHeight="1">
      <c r="E928" s="374"/>
      <c r="F928" s="374"/>
      <c r="G928" s="374"/>
      <c r="H928" s="374"/>
    </row>
    <row r="929" spans="5:8" ht="21" customHeight="1">
      <c r="E929" s="374"/>
      <c r="F929" s="374"/>
      <c r="G929" s="374"/>
      <c r="H929" s="374"/>
    </row>
    <row r="930" spans="5:8" ht="21" customHeight="1">
      <c r="E930" s="374"/>
      <c r="F930" s="374"/>
      <c r="G930" s="374"/>
      <c r="H930" s="374"/>
    </row>
    <row r="931" spans="5:8" ht="21" customHeight="1">
      <c r="E931" s="374"/>
      <c r="F931" s="374"/>
      <c r="G931" s="374"/>
      <c r="H931" s="374"/>
    </row>
    <row r="932" spans="5:8" ht="21" customHeight="1">
      <c r="E932" s="374"/>
      <c r="F932" s="374"/>
      <c r="G932" s="374"/>
      <c r="H932" s="374"/>
    </row>
    <row r="933" spans="5:8" ht="21" customHeight="1">
      <c r="E933" s="374"/>
      <c r="F933" s="374"/>
      <c r="G933" s="374"/>
      <c r="H933" s="374"/>
    </row>
    <row r="934" spans="5:8" ht="21" customHeight="1">
      <c r="E934" s="374"/>
      <c r="F934" s="374"/>
      <c r="G934" s="374"/>
      <c r="H934" s="374"/>
    </row>
    <row r="935" spans="5:8" ht="21" customHeight="1">
      <c r="E935" s="374"/>
      <c r="F935" s="374"/>
      <c r="G935" s="374"/>
      <c r="H935" s="374"/>
    </row>
    <row r="936" spans="5:8" ht="21" customHeight="1">
      <c r="E936" s="374"/>
      <c r="F936" s="374"/>
      <c r="G936" s="374"/>
      <c r="H936" s="374"/>
    </row>
    <row r="937" spans="5:8" ht="21" customHeight="1">
      <c r="E937" s="374"/>
      <c r="F937" s="374"/>
      <c r="G937" s="374"/>
      <c r="H937" s="374"/>
    </row>
    <row r="938" spans="5:8" ht="21" customHeight="1">
      <c r="E938" s="374"/>
      <c r="F938" s="374"/>
      <c r="G938" s="374"/>
      <c r="H938" s="374"/>
    </row>
    <row r="939" spans="5:8" ht="21" customHeight="1">
      <c r="E939" s="374"/>
      <c r="F939" s="374"/>
      <c r="G939" s="374"/>
      <c r="H939" s="374"/>
    </row>
    <row r="940" spans="5:8" ht="21" customHeight="1">
      <c r="E940" s="374"/>
      <c r="F940" s="374"/>
      <c r="G940" s="374"/>
      <c r="H940" s="374"/>
    </row>
    <row r="941" spans="5:8" ht="21" customHeight="1">
      <c r="E941" s="374"/>
      <c r="F941" s="374"/>
      <c r="G941" s="374"/>
      <c r="H941" s="374"/>
    </row>
    <row r="942" spans="5:8" ht="21" customHeight="1">
      <c r="E942" s="374"/>
      <c r="F942" s="374"/>
      <c r="G942" s="374"/>
      <c r="H942" s="374"/>
    </row>
    <row r="943" spans="5:8" ht="21" customHeight="1">
      <c r="E943" s="374"/>
      <c r="F943" s="374"/>
      <c r="G943" s="374"/>
      <c r="H943" s="374"/>
    </row>
    <row r="944" spans="5:8" ht="21" customHeight="1">
      <c r="E944" s="374"/>
      <c r="F944" s="374"/>
      <c r="G944" s="374"/>
      <c r="H944" s="374"/>
    </row>
    <row r="945" spans="5:8" ht="21" customHeight="1">
      <c r="E945" s="374"/>
      <c r="F945" s="374"/>
      <c r="G945" s="374"/>
      <c r="H945" s="374"/>
    </row>
    <row r="946" spans="5:8" ht="21" customHeight="1">
      <c r="E946" s="374"/>
      <c r="F946" s="374"/>
      <c r="G946" s="374"/>
      <c r="H946" s="374"/>
    </row>
    <row r="947" spans="5:8" ht="21" customHeight="1">
      <c r="E947" s="374"/>
      <c r="F947" s="374"/>
      <c r="G947" s="374"/>
      <c r="H947" s="374"/>
    </row>
    <row r="948" spans="5:8" ht="21" customHeight="1">
      <c r="E948" s="374"/>
      <c r="F948" s="374"/>
      <c r="G948" s="374"/>
      <c r="H948" s="374"/>
    </row>
    <row r="949" spans="5:8" ht="21" customHeight="1">
      <c r="E949" s="374"/>
      <c r="F949" s="374"/>
      <c r="G949" s="374"/>
      <c r="H949" s="374"/>
    </row>
    <row r="950" spans="5:8" ht="21" customHeight="1">
      <c r="E950" s="374"/>
      <c r="F950" s="374"/>
      <c r="G950" s="374"/>
      <c r="H950" s="374"/>
    </row>
    <row r="951" spans="5:8" ht="21" customHeight="1">
      <c r="E951" s="374"/>
      <c r="F951" s="374"/>
      <c r="G951" s="374"/>
      <c r="H951" s="374"/>
    </row>
    <row r="952" spans="5:8" ht="21" customHeight="1">
      <c r="E952" s="374"/>
      <c r="F952" s="374"/>
      <c r="G952" s="374"/>
      <c r="H952" s="374"/>
    </row>
    <row r="953" spans="5:8" ht="21" customHeight="1">
      <c r="E953" s="374"/>
      <c r="F953" s="374"/>
      <c r="G953" s="374"/>
      <c r="H953" s="374"/>
    </row>
    <row r="954" spans="5:8" ht="21" customHeight="1">
      <c r="E954" s="374"/>
      <c r="F954" s="374"/>
      <c r="G954" s="374"/>
      <c r="H954" s="374"/>
    </row>
    <row r="955" spans="5:8" ht="21" customHeight="1">
      <c r="E955" s="374"/>
      <c r="F955" s="374"/>
      <c r="G955" s="374"/>
      <c r="H955" s="374"/>
    </row>
    <row r="956" spans="5:8" ht="21" customHeight="1">
      <c r="E956" s="374"/>
      <c r="F956" s="374"/>
      <c r="G956" s="374"/>
      <c r="H956" s="374"/>
    </row>
    <row r="957" spans="5:8" ht="21" customHeight="1">
      <c r="E957" s="374"/>
      <c r="F957" s="374"/>
      <c r="G957" s="374"/>
      <c r="H957" s="374"/>
    </row>
    <row r="958" spans="5:8" ht="21" customHeight="1">
      <c r="E958" s="374"/>
      <c r="F958" s="374"/>
      <c r="G958" s="374"/>
      <c r="H958" s="374"/>
    </row>
    <row r="959" spans="5:8" ht="21" customHeight="1">
      <c r="E959" s="374"/>
      <c r="F959" s="374"/>
      <c r="G959" s="374"/>
      <c r="H959" s="374"/>
    </row>
    <row r="960" spans="5:8" ht="21" customHeight="1">
      <c r="E960" s="374"/>
      <c r="F960" s="374"/>
      <c r="G960" s="374"/>
      <c r="H960" s="374"/>
    </row>
    <row r="961" spans="5:8" ht="21" customHeight="1">
      <c r="E961" s="374"/>
      <c r="F961" s="374"/>
      <c r="G961" s="374"/>
      <c r="H961" s="374"/>
    </row>
    <row r="962" spans="5:8" ht="21" customHeight="1">
      <c r="E962" s="374"/>
      <c r="F962" s="374"/>
      <c r="G962" s="374"/>
      <c r="H962" s="374"/>
    </row>
    <row r="963" spans="5:8" ht="21" customHeight="1">
      <c r="E963" s="374"/>
      <c r="F963" s="374"/>
      <c r="G963" s="374"/>
      <c r="H963" s="374"/>
    </row>
    <row r="964" spans="5:8" ht="21" customHeight="1">
      <c r="E964" s="374"/>
      <c r="F964" s="374"/>
      <c r="G964" s="374"/>
      <c r="H964" s="374"/>
    </row>
    <row r="965" spans="5:8" ht="21" customHeight="1">
      <c r="E965" s="374"/>
      <c r="F965" s="374"/>
      <c r="G965" s="374"/>
      <c r="H965" s="374"/>
    </row>
    <row r="966" spans="5:8" ht="21" customHeight="1">
      <c r="E966" s="374"/>
      <c r="F966" s="374"/>
      <c r="G966" s="374"/>
      <c r="H966" s="374"/>
    </row>
    <row r="967" spans="5:8" ht="21" customHeight="1">
      <c r="E967" s="374"/>
      <c r="F967" s="374"/>
      <c r="G967" s="374"/>
      <c r="H967" s="374"/>
    </row>
    <row r="968" spans="5:8" ht="21" customHeight="1">
      <c r="E968" s="374"/>
      <c r="F968" s="374"/>
      <c r="G968" s="374"/>
      <c r="H968" s="374"/>
    </row>
    <row r="969" spans="5:8" ht="21" customHeight="1">
      <c r="E969" s="374"/>
      <c r="F969" s="374"/>
      <c r="G969" s="374"/>
      <c r="H969" s="374"/>
    </row>
    <row r="970" spans="5:8" ht="21" customHeight="1">
      <c r="E970" s="374"/>
      <c r="F970" s="374"/>
      <c r="G970" s="374"/>
      <c r="H970" s="374"/>
    </row>
    <row r="971" spans="5:8" ht="21" customHeight="1">
      <c r="E971" s="374"/>
      <c r="F971" s="374"/>
      <c r="G971" s="374"/>
      <c r="H971" s="374"/>
    </row>
    <row r="972" spans="5:8" ht="21" customHeight="1">
      <c r="E972" s="374"/>
      <c r="F972" s="374"/>
      <c r="G972" s="374"/>
      <c r="H972" s="374"/>
    </row>
    <row r="973" spans="5:8" ht="21" customHeight="1">
      <c r="E973" s="374"/>
      <c r="F973" s="374"/>
      <c r="G973" s="374"/>
      <c r="H973" s="374"/>
    </row>
    <row r="974" spans="5:8" ht="21" customHeight="1">
      <c r="E974" s="374"/>
      <c r="F974" s="374"/>
      <c r="G974" s="374"/>
      <c r="H974" s="374"/>
    </row>
    <row r="975" spans="5:8" ht="21" customHeight="1">
      <c r="E975" s="374"/>
      <c r="F975" s="374"/>
      <c r="G975" s="374"/>
      <c r="H975" s="374"/>
    </row>
    <row r="976" spans="5:8" ht="21" customHeight="1">
      <c r="E976" s="374"/>
      <c r="F976" s="374"/>
      <c r="G976" s="374"/>
      <c r="H976" s="374"/>
    </row>
    <row r="977" spans="5:8" ht="21" customHeight="1">
      <c r="E977" s="374"/>
      <c r="F977" s="374"/>
      <c r="G977" s="374"/>
      <c r="H977" s="374"/>
    </row>
    <row r="978" spans="5:8" ht="21" customHeight="1">
      <c r="E978" s="374"/>
      <c r="F978" s="374"/>
      <c r="G978" s="374"/>
      <c r="H978" s="374"/>
    </row>
    <row r="979" spans="5:8" ht="21" customHeight="1">
      <c r="E979" s="374"/>
      <c r="F979" s="374"/>
      <c r="G979" s="374"/>
      <c r="H979" s="374"/>
    </row>
    <row r="980" spans="5:8" ht="21" customHeight="1">
      <c r="E980" s="374"/>
      <c r="F980" s="374"/>
      <c r="G980" s="374"/>
      <c r="H980" s="374"/>
    </row>
    <row r="981" spans="5:8" ht="21" customHeight="1">
      <c r="E981" s="374"/>
      <c r="F981" s="374"/>
      <c r="G981" s="374"/>
      <c r="H981" s="374"/>
    </row>
    <row r="982" spans="5:8" ht="21" customHeight="1">
      <c r="E982" s="374"/>
      <c r="F982" s="374"/>
      <c r="G982" s="374"/>
      <c r="H982" s="374"/>
    </row>
    <row r="983" spans="5:8" ht="21" customHeight="1">
      <c r="E983" s="374"/>
      <c r="F983" s="374"/>
      <c r="G983" s="374"/>
      <c r="H983" s="374"/>
    </row>
    <row r="984" spans="5:8" ht="21" customHeight="1">
      <c r="E984" s="374"/>
      <c r="F984" s="374"/>
      <c r="G984" s="374"/>
      <c r="H984" s="374"/>
    </row>
    <row r="985" spans="5:8" ht="21" customHeight="1">
      <c r="E985" s="374"/>
      <c r="F985" s="374"/>
      <c r="G985" s="374"/>
      <c r="H985" s="374"/>
    </row>
    <row r="986" spans="5:8" ht="21" customHeight="1">
      <c r="E986" s="374"/>
      <c r="F986" s="374"/>
      <c r="G986" s="374"/>
      <c r="H986" s="374"/>
    </row>
    <row r="987" spans="5:8" ht="21" customHeight="1">
      <c r="E987" s="374"/>
      <c r="F987" s="374"/>
      <c r="G987" s="374"/>
      <c r="H987" s="374"/>
    </row>
    <row r="988" spans="5:8" ht="21" customHeight="1">
      <c r="E988" s="374"/>
      <c r="F988" s="374"/>
      <c r="G988" s="374"/>
      <c r="H988" s="374"/>
    </row>
    <row r="989" spans="5:8" ht="21" customHeight="1">
      <c r="E989" s="374"/>
      <c r="F989" s="374"/>
      <c r="G989" s="374"/>
      <c r="H989" s="374"/>
    </row>
    <row r="990" spans="5:8" ht="21" customHeight="1">
      <c r="E990" s="374"/>
      <c r="F990" s="374"/>
      <c r="G990" s="374"/>
      <c r="H990" s="374"/>
    </row>
    <row r="991" spans="5:8" ht="21" customHeight="1">
      <c r="E991" s="374"/>
      <c r="F991" s="374"/>
      <c r="G991" s="374"/>
      <c r="H991" s="374"/>
    </row>
    <row r="992" spans="5:8" ht="21" customHeight="1">
      <c r="E992" s="374"/>
      <c r="F992" s="374"/>
      <c r="G992" s="374"/>
      <c r="H992" s="374"/>
    </row>
    <row r="993" spans="5:8" ht="21" customHeight="1">
      <c r="E993" s="374"/>
      <c r="F993" s="374"/>
      <c r="G993" s="374"/>
      <c r="H993" s="374"/>
    </row>
    <row r="994" spans="5:8" ht="21" customHeight="1">
      <c r="E994" s="374"/>
      <c r="F994" s="374"/>
      <c r="G994" s="374"/>
      <c r="H994" s="374"/>
    </row>
    <row r="995" spans="5:8" ht="21" customHeight="1">
      <c r="E995" s="374"/>
      <c r="F995" s="374"/>
      <c r="G995" s="374"/>
      <c r="H995" s="374"/>
    </row>
    <row r="996" spans="5:8" ht="21" customHeight="1">
      <c r="E996" s="374"/>
      <c r="F996" s="374"/>
      <c r="G996" s="374"/>
      <c r="H996" s="374"/>
    </row>
    <row r="997" spans="5:8" ht="21" customHeight="1">
      <c r="E997" s="374"/>
      <c r="F997" s="374"/>
      <c r="G997" s="374"/>
      <c r="H997" s="374"/>
    </row>
    <row r="998" spans="5:8" ht="21" customHeight="1">
      <c r="E998" s="374"/>
      <c r="F998" s="374"/>
      <c r="G998" s="374"/>
      <c r="H998" s="374"/>
    </row>
    <row r="999" spans="5:8" ht="21" customHeight="1">
      <c r="E999" s="374"/>
      <c r="F999" s="374"/>
      <c r="G999" s="374"/>
      <c r="H999" s="374"/>
    </row>
    <row r="1000" spans="5:8" ht="21" customHeight="1">
      <c r="E1000" s="374"/>
      <c r="F1000" s="374"/>
      <c r="G1000" s="374"/>
      <c r="H1000" s="374"/>
    </row>
    <row r="1001" spans="5:8" ht="21" customHeight="1">
      <c r="E1001" s="374"/>
      <c r="F1001" s="374"/>
      <c r="G1001" s="374"/>
      <c r="H1001" s="374"/>
    </row>
    <row r="1002" spans="5:8" ht="21" customHeight="1">
      <c r="E1002" s="374"/>
      <c r="F1002" s="374"/>
      <c r="G1002" s="374"/>
      <c r="H1002" s="374"/>
    </row>
    <row r="1003" spans="5:8" ht="21" customHeight="1">
      <c r="E1003" s="374"/>
      <c r="F1003" s="374"/>
      <c r="G1003" s="374"/>
      <c r="H1003" s="374"/>
    </row>
    <row r="1004" spans="5:8" ht="21" customHeight="1">
      <c r="E1004" s="374"/>
      <c r="F1004" s="374"/>
      <c r="G1004" s="374"/>
      <c r="H1004" s="374"/>
    </row>
    <row r="1005" spans="5:8" ht="21" customHeight="1">
      <c r="E1005" s="374"/>
      <c r="F1005" s="374"/>
      <c r="G1005" s="374"/>
      <c r="H1005" s="374"/>
    </row>
    <row r="1006" spans="5:8" ht="21" customHeight="1">
      <c r="E1006" s="374"/>
      <c r="F1006" s="374"/>
      <c r="G1006" s="374"/>
      <c r="H1006" s="374"/>
    </row>
    <row r="1007" spans="5:8" ht="21" customHeight="1">
      <c r="E1007" s="374"/>
      <c r="F1007" s="374"/>
      <c r="G1007" s="374"/>
      <c r="H1007" s="374"/>
    </row>
    <row r="1008" spans="5:8" ht="21" customHeight="1">
      <c r="E1008" s="374"/>
      <c r="F1008" s="374"/>
      <c r="G1008" s="374"/>
      <c r="H1008" s="374"/>
    </row>
    <row r="1009" spans="5:8" ht="21" customHeight="1">
      <c r="E1009" s="374"/>
      <c r="F1009" s="374"/>
      <c r="G1009" s="374"/>
      <c r="H1009" s="374"/>
    </row>
    <row r="1010" spans="5:8" ht="21" customHeight="1">
      <c r="E1010" s="374"/>
      <c r="F1010" s="374"/>
      <c r="G1010" s="374"/>
      <c r="H1010" s="374"/>
    </row>
    <row r="1011" spans="5:8" ht="21" customHeight="1">
      <c r="E1011" s="374"/>
      <c r="F1011" s="374"/>
      <c r="G1011" s="374"/>
      <c r="H1011" s="374"/>
    </row>
    <row r="1012" spans="5:8" ht="21" customHeight="1">
      <c r="E1012" s="374"/>
      <c r="F1012" s="374"/>
      <c r="G1012" s="374"/>
      <c r="H1012" s="374"/>
    </row>
    <row r="1013" spans="5:8" ht="21" customHeight="1">
      <c r="E1013" s="374"/>
      <c r="F1013" s="374"/>
      <c r="G1013" s="374"/>
      <c r="H1013" s="374"/>
    </row>
    <row r="1014" spans="5:8" ht="21" customHeight="1">
      <c r="E1014" s="374"/>
      <c r="F1014" s="374"/>
      <c r="G1014" s="374"/>
      <c r="H1014" s="374"/>
    </row>
    <row r="1015" spans="5:8" ht="21" customHeight="1">
      <c r="E1015" s="374"/>
      <c r="F1015" s="374"/>
      <c r="G1015" s="374"/>
      <c r="H1015" s="374"/>
    </row>
    <row r="1016" spans="5:8" ht="21" customHeight="1">
      <c r="E1016" s="374"/>
      <c r="F1016" s="374"/>
      <c r="G1016" s="374"/>
      <c r="H1016" s="374"/>
    </row>
    <row r="1017" spans="5:8" ht="21" customHeight="1">
      <c r="E1017" s="374"/>
      <c r="F1017" s="374"/>
      <c r="G1017" s="374"/>
      <c r="H1017" s="374"/>
    </row>
    <row r="1018" spans="5:8" ht="21" customHeight="1">
      <c r="E1018" s="374"/>
      <c r="F1018" s="374"/>
      <c r="G1018" s="374"/>
      <c r="H1018" s="374"/>
    </row>
    <row r="1019" spans="5:8" ht="21" customHeight="1">
      <c r="E1019" s="374"/>
      <c r="F1019" s="374"/>
      <c r="G1019" s="374"/>
      <c r="H1019" s="374"/>
    </row>
    <row r="1020" spans="5:8" ht="21" customHeight="1">
      <c r="E1020" s="374"/>
      <c r="F1020" s="374"/>
      <c r="G1020" s="374"/>
      <c r="H1020" s="374"/>
    </row>
    <row r="1021" spans="5:8" ht="21" customHeight="1">
      <c r="E1021" s="374"/>
      <c r="F1021" s="374"/>
      <c r="G1021" s="374"/>
      <c r="H1021" s="374"/>
    </row>
    <row r="1022" spans="5:8" ht="21" customHeight="1">
      <c r="E1022" s="374"/>
      <c r="F1022" s="374"/>
      <c r="G1022" s="374"/>
      <c r="H1022" s="374"/>
    </row>
    <row r="1023" spans="5:8" ht="21" customHeight="1">
      <c r="E1023" s="374"/>
      <c r="F1023" s="374"/>
      <c r="G1023" s="374"/>
      <c r="H1023" s="374"/>
    </row>
    <row r="1024" spans="5:8" ht="21" customHeight="1">
      <c r="E1024" s="374"/>
      <c r="F1024" s="374"/>
      <c r="G1024" s="374"/>
      <c r="H1024" s="374"/>
    </row>
    <row r="1025" spans="5:8" ht="21" customHeight="1">
      <c r="E1025" s="374"/>
      <c r="F1025" s="374"/>
      <c r="G1025" s="374"/>
      <c r="H1025" s="374"/>
    </row>
    <row r="1026" spans="5:8" ht="21" customHeight="1">
      <c r="E1026" s="374"/>
      <c r="F1026" s="374"/>
      <c r="G1026" s="374"/>
      <c r="H1026" s="374"/>
    </row>
    <row r="1027" spans="5:8" ht="21" customHeight="1">
      <c r="E1027" s="374"/>
      <c r="F1027" s="374"/>
      <c r="G1027" s="374"/>
      <c r="H1027" s="374"/>
    </row>
    <row r="1028" spans="5:8" ht="21" customHeight="1">
      <c r="E1028" s="374"/>
      <c r="F1028" s="374"/>
      <c r="G1028" s="374"/>
      <c r="H1028" s="374"/>
    </row>
    <row r="1029" spans="5:8" ht="21" customHeight="1">
      <c r="E1029" s="374"/>
      <c r="F1029" s="374"/>
      <c r="G1029" s="374"/>
      <c r="H1029" s="374"/>
    </row>
    <row r="1030" spans="5:8" ht="21" customHeight="1">
      <c r="E1030" s="374"/>
      <c r="F1030" s="374"/>
      <c r="G1030" s="374"/>
      <c r="H1030" s="374"/>
    </row>
    <row r="1031" spans="5:8" ht="21" customHeight="1">
      <c r="E1031" s="374"/>
      <c r="F1031" s="374"/>
      <c r="G1031" s="374"/>
      <c r="H1031" s="374"/>
    </row>
    <row r="1032" spans="5:8" ht="21" customHeight="1">
      <c r="E1032" s="374"/>
      <c r="F1032" s="374"/>
      <c r="G1032" s="374"/>
      <c r="H1032" s="374"/>
    </row>
    <row r="1033" spans="5:8" ht="21" customHeight="1">
      <c r="E1033" s="374"/>
      <c r="F1033" s="374"/>
      <c r="G1033" s="374"/>
      <c r="H1033" s="374"/>
    </row>
    <row r="1034" spans="5:8" ht="21" customHeight="1">
      <c r="E1034" s="374"/>
      <c r="F1034" s="374"/>
      <c r="G1034" s="374"/>
      <c r="H1034" s="374"/>
    </row>
    <row r="1035" spans="5:8" ht="21" customHeight="1">
      <c r="E1035" s="374"/>
      <c r="F1035" s="374"/>
      <c r="G1035" s="374"/>
      <c r="H1035" s="374"/>
    </row>
    <row r="1036" spans="5:8" ht="21" customHeight="1">
      <c r="E1036" s="374"/>
      <c r="F1036" s="374"/>
      <c r="G1036" s="374"/>
      <c r="H1036" s="374"/>
    </row>
    <row r="1037" spans="5:8" ht="21" customHeight="1">
      <c r="E1037" s="374"/>
      <c r="F1037" s="374"/>
      <c r="G1037" s="374"/>
      <c r="H1037" s="374"/>
    </row>
    <row r="1038" spans="5:8" ht="21" customHeight="1">
      <c r="E1038" s="374"/>
      <c r="F1038" s="374"/>
      <c r="G1038" s="374"/>
      <c r="H1038" s="374"/>
    </row>
    <row r="1039" spans="5:8" ht="21" customHeight="1">
      <c r="E1039" s="374"/>
      <c r="F1039" s="374"/>
      <c r="G1039" s="374"/>
      <c r="H1039" s="374"/>
    </row>
    <row r="1040" spans="5:8" ht="21" customHeight="1">
      <c r="E1040" s="374"/>
      <c r="F1040" s="374"/>
      <c r="G1040" s="374"/>
      <c r="H1040" s="374"/>
    </row>
    <row r="1041" spans="5:8" ht="21" customHeight="1">
      <c r="E1041" s="374"/>
      <c r="F1041" s="374"/>
      <c r="G1041" s="374"/>
      <c r="H1041" s="374"/>
    </row>
    <row r="1042" spans="5:8" ht="21" customHeight="1">
      <c r="E1042" s="374"/>
      <c r="F1042" s="374"/>
      <c r="G1042" s="374"/>
      <c r="H1042" s="374"/>
    </row>
    <row r="1043" spans="5:8" ht="21" customHeight="1">
      <c r="E1043" s="374"/>
      <c r="F1043" s="374"/>
      <c r="G1043" s="374"/>
      <c r="H1043" s="374"/>
    </row>
    <row r="1044" spans="5:8" ht="21" customHeight="1">
      <c r="E1044" s="374"/>
      <c r="F1044" s="374"/>
      <c r="G1044" s="374"/>
      <c r="H1044" s="374"/>
    </row>
    <row r="1045" spans="5:8" ht="21" customHeight="1">
      <c r="E1045" s="374"/>
      <c r="F1045" s="374"/>
      <c r="G1045" s="374"/>
      <c r="H1045" s="374"/>
    </row>
    <row r="1046" spans="5:8" ht="21" customHeight="1">
      <c r="E1046" s="374"/>
      <c r="F1046" s="374"/>
      <c r="G1046" s="374"/>
      <c r="H1046" s="374"/>
    </row>
    <row r="1047" spans="5:8" ht="21" customHeight="1">
      <c r="E1047" s="374"/>
      <c r="F1047" s="374"/>
      <c r="G1047" s="374"/>
      <c r="H1047" s="374"/>
    </row>
    <row r="1048" spans="5:8" ht="21" customHeight="1">
      <c r="E1048" s="374"/>
      <c r="F1048" s="374"/>
      <c r="G1048" s="374"/>
      <c r="H1048" s="374"/>
    </row>
    <row r="1049" spans="5:8" ht="21" customHeight="1">
      <c r="E1049" s="374"/>
      <c r="F1049" s="374"/>
      <c r="G1049" s="374"/>
      <c r="H1049" s="374"/>
    </row>
    <row r="1050" spans="5:8" ht="21" customHeight="1">
      <c r="E1050" s="374"/>
      <c r="F1050" s="374"/>
      <c r="G1050" s="374"/>
      <c r="H1050" s="374"/>
    </row>
    <row r="1051" spans="5:8" ht="21" customHeight="1">
      <c r="E1051" s="374"/>
      <c r="F1051" s="374"/>
      <c r="G1051" s="374"/>
      <c r="H1051" s="374"/>
    </row>
    <row r="1052" spans="5:8" ht="21" customHeight="1">
      <c r="E1052" s="374"/>
      <c r="F1052" s="374"/>
      <c r="G1052" s="374"/>
      <c r="H1052" s="374"/>
    </row>
    <row r="1053" spans="5:8" ht="21" customHeight="1">
      <c r="E1053" s="374"/>
      <c r="F1053" s="374"/>
      <c r="G1053" s="374"/>
      <c r="H1053" s="374"/>
    </row>
    <row r="1054" spans="5:8" ht="21" customHeight="1">
      <c r="E1054" s="374"/>
      <c r="F1054" s="374"/>
      <c r="G1054" s="374"/>
      <c r="H1054" s="374"/>
    </row>
    <row r="1055" spans="5:8" ht="21" customHeight="1">
      <c r="E1055" s="374"/>
      <c r="F1055" s="374"/>
      <c r="G1055" s="374"/>
      <c r="H1055" s="374"/>
    </row>
    <row r="1056" spans="5:8" ht="21" customHeight="1">
      <c r="E1056" s="374"/>
      <c r="F1056" s="374"/>
      <c r="G1056" s="374"/>
      <c r="H1056" s="374"/>
    </row>
    <row r="1057" spans="5:8" ht="21" customHeight="1">
      <c r="E1057" s="374"/>
      <c r="F1057" s="374"/>
      <c r="G1057" s="374"/>
      <c r="H1057" s="374"/>
    </row>
    <row r="1058" spans="5:8" ht="21" customHeight="1">
      <c r="E1058" s="374"/>
      <c r="F1058" s="374"/>
      <c r="G1058" s="374"/>
      <c r="H1058" s="374"/>
    </row>
    <row r="1059" spans="5:8" ht="21" customHeight="1">
      <c r="E1059" s="374"/>
      <c r="F1059" s="374"/>
      <c r="G1059" s="374"/>
      <c r="H1059" s="374"/>
    </row>
    <row r="1060" spans="5:8" ht="21" customHeight="1">
      <c r="E1060" s="374"/>
      <c r="F1060" s="374"/>
      <c r="G1060" s="374"/>
      <c r="H1060" s="374"/>
    </row>
    <row r="1061" spans="5:8" ht="21" customHeight="1">
      <c r="E1061" s="374"/>
      <c r="F1061" s="374"/>
      <c r="G1061" s="374"/>
      <c r="H1061" s="374"/>
    </row>
    <row r="1062" spans="5:8" ht="21" customHeight="1">
      <c r="E1062" s="374"/>
      <c r="F1062" s="374"/>
      <c r="G1062" s="374"/>
      <c r="H1062" s="374"/>
    </row>
    <row r="1063" spans="5:8" ht="21" customHeight="1">
      <c r="E1063" s="374"/>
      <c r="F1063" s="374"/>
      <c r="G1063" s="374"/>
      <c r="H1063" s="374"/>
    </row>
    <row r="1064" spans="5:8" ht="21" customHeight="1">
      <c r="E1064" s="374"/>
      <c r="F1064" s="374"/>
      <c r="G1064" s="374"/>
      <c r="H1064" s="374"/>
    </row>
    <row r="1065" spans="5:8" ht="21" customHeight="1">
      <c r="E1065" s="374"/>
      <c r="F1065" s="374"/>
      <c r="G1065" s="374"/>
      <c r="H1065" s="374"/>
    </row>
    <row r="1066" spans="5:8" ht="21" customHeight="1">
      <c r="E1066" s="374"/>
      <c r="F1066" s="374"/>
      <c r="G1066" s="374"/>
      <c r="H1066" s="374"/>
    </row>
    <row r="1067" spans="5:8" ht="21" customHeight="1">
      <c r="E1067" s="374"/>
      <c r="F1067" s="374"/>
      <c r="G1067" s="374"/>
      <c r="H1067" s="374"/>
    </row>
    <row r="1068" spans="5:8" ht="21" customHeight="1">
      <c r="E1068" s="374"/>
      <c r="F1068" s="374"/>
      <c r="G1068" s="374"/>
      <c r="H1068" s="374"/>
    </row>
    <row r="1069" spans="5:8" ht="21" customHeight="1">
      <c r="E1069" s="374"/>
      <c r="F1069" s="374"/>
      <c r="G1069" s="374"/>
      <c r="H1069" s="374"/>
    </row>
    <row r="1070" spans="5:8" ht="21" customHeight="1">
      <c r="E1070" s="374"/>
      <c r="F1070" s="374"/>
      <c r="G1070" s="374"/>
      <c r="H1070" s="374"/>
    </row>
    <row r="1071" spans="5:8" ht="21" customHeight="1">
      <c r="E1071" s="374"/>
      <c r="F1071" s="374"/>
      <c r="G1071" s="374"/>
      <c r="H1071" s="374"/>
    </row>
    <row r="1072" spans="5:8" ht="21" customHeight="1">
      <c r="E1072" s="374"/>
      <c r="F1072" s="374"/>
      <c r="G1072" s="374"/>
      <c r="H1072" s="374"/>
    </row>
    <row r="1073" spans="5:8" ht="21" customHeight="1">
      <c r="E1073" s="374"/>
      <c r="F1073" s="374"/>
      <c r="G1073" s="374"/>
      <c r="H1073" s="374"/>
    </row>
    <row r="1074" spans="5:8" ht="21" customHeight="1">
      <c r="E1074" s="374"/>
      <c r="F1074" s="374"/>
      <c r="G1074" s="374"/>
      <c r="H1074" s="374"/>
    </row>
    <row r="1075" spans="5:8" ht="21" customHeight="1">
      <c r="E1075" s="374"/>
      <c r="F1075" s="374"/>
      <c r="G1075" s="374"/>
      <c r="H1075" s="374"/>
    </row>
    <row r="1076" spans="5:8" ht="21" customHeight="1">
      <c r="E1076" s="374"/>
      <c r="F1076" s="374"/>
      <c r="G1076" s="374"/>
      <c r="H1076" s="374"/>
    </row>
    <row r="1077" spans="5:8" ht="21" customHeight="1">
      <c r="E1077" s="374"/>
      <c r="F1077" s="374"/>
      <c r="G1077" s="374"/>
      <c r="H1077" s="374"/>
    </row>
    <row r="1078" spans="5:8" ht="21" customHeight="1">
      <c r="E1078" s="374"/>
      <c r="F1078" s="374"/>
      <c r="G1078" s="374"/>
      <c r="H1078" s="374"/>
    </row>
    <row r="1079" spans="5:8" ht="21" customHeight="1">
      <c r="E1079" s="374"/>
      <c r="F1079" s="374"/>
      <c r="G1079" s="374"/>
      <c r="H1079" s="374"/>
    </row>
    <row r="1080" spans="5:8" ht="21" customHeight="1">
      <c r="E1080" s="374"/>
      <c r="F1080" s="374"/>
      <c r="G1080" s="374"/>
      <c r="H1080" s="374"/>
    </row>
    <row r="1081" spans="5:8" ht="21" customHeight="1">
      <c r="E1081" s="374"/>
      <c r="F1081" s="374"/>
      <c r="G1081" s="374"/>
      <c r="H1081" s="374"/>
    </row>
    <row r="1082" spans="5:8" ht="21" customHeight="1">
      <c r="E1082" s="374"/>
      <c r="F1082" s="374"/>
      <c r="G1082" s="374"/>
      <c r="H1082" s="374"/>
    </row>
    <row r="1083" spans="5:8" ht="21" customHeight="1">
      <c r="E1083" s="374"/>
      <c r="F1083" s="374"/>
      <c r="G1083" s="374"/>
      <c r="H1083" s="374"/>
    </row>
    <row r="1084" spans="5:8" ht="21" customHeight="1">
      <c r="E1084" s="374"/>
      <c r="F1084" s="374"/>
      <c r="G1084" s="374"/>
      <c r="H1084" s="374"/>
    </row>
    <row r="1085" spans="5:8" ht="21" customHeight="1">
      <c r="E1085" s="374"/>
      <c r="F1085" s="374"/>
      <c r="G1085" s="374"/>
      <c r="H1085" s="374"/>
    </row>
    <row r="1086" spans="5:8" ht="21" customHeight="1">
      <c r="E1086" s="374"/>
      <c r="F1086" s="374"/>
      <c r="G1086" s="374"/>
      <c r="H1086" s="374"/>
    </row>
    <row r="1087" spans="5:8" ht="21" customHeight="1">
      <c r="E1087" s="374"/>
      <c r="F1087" s="374"/>
      <c r="G1087" s="374"/>
      <c r="H1087" s="374"/>
    </row>
    <row r="1088" spans="5:8" ht="21" customHeight="1">
      <c r="E1088" s="374"/>
      <c r="F1088" s="374"/>
      <c r="G1088" s="374"/>
      <c r="H1088" s="374"/>
    </row>
    <row r="1089" spans="5:8" ht="21" customHeight="1">
      <c r="E1089" s="374"/>
      <c r="F1089" s="374"/>
      <c r="G1089" s="374"/>
      <c r="H1089" s="374"/>
    </row>
    <row r="1090" spans="5:8" ht="21" customHeight="1">
      <c r="E1090" s="374"/>
      <c r="F1090" s="374"/>
      <c r="G1090" s="374"/>
      <c r="H1090" s="374"/>
    </row>
    <row r="1091" spans="5:8" ht="21" customHeight="1">
      <c r="E1091" s="374"/>
      <c r="F1091" s="374"/>
      <c r="G1091" s="374"/>
      <c r="H1091" s="374"/>
    </row>
    <row r="1092" spans="5:8" ht="21" customHeight="1">
      <c r="E1092" s="374"/>
      <c r="F1092" s="374"/>
      <c r="G1092" s="374"/>
      <c r="H1092" s="374"/>
    </row>
    <row r="1093" spans="5:8" ht="21" customHeight="1">
      <c r="E1093" s="374"/>
      <c r="F1093" s="374"/>
      <c r="G1093" s="374"/>
      <c r="H1093" s="374"/>
    </row>
    <row r="1094" spans="5:8" ht="21" customHeight="1">
      <c r="E1094" s="374"/>
      <c r="F1094" s="374"/>
      <c r="G1094" s="374"/>
      <c r="H1094" s="374"/>
    </row>
    <row r="1095" spans="5:8" ht="21" customHeight="1">
      <c r="E1095" s="374"/>
      <c r="F1095" s="374"/>
      <c r="G1095" s="374"/>
      <c r="H1095" s="374"/>
    </row>
    <row r="1096" spans="5:8" ht="21" customHeight="1">
      <c r="E1096" s="374"/>
      <c r="F1096" s="374"/>
      <c r="G1096" s="374"/>
      <c r="H1096" s="374"/>
    </row>
    <row r="1097" spans="5:8" ht="21" customHeight="1">
      <c r="E1097" s="374"/>
      <c r="F1097" s="374"/>
      <c r="G1097" s="374"/>
      <c r="H1097" s="374"/>
    </row>
    <row r="1098" spans="5:8" ht="21" customHeight="1">
      <c r="E1098" s="374"/>
      <c r="F1098" s="374"/>
      <c r="G1098" s="374"/>
      <c r="H1098" s="374"/>
    </row>
    <row r="1099" spans="5:8" ht="21" customHeight="1">
      <c r="E1099" s="374"/>
      <c r="F1099" s="374"/>
      <c r="G1099" s="374"/>
      <c r="H1099" s="374"/>
    </row>
    <row r="1100" spans="5:8" ht="21" customHeight="1">
      <c r="E1100" s="374"/>
      <c r="F1100" s="374"/>
      <c r="G1100" s="374"/>
      <c r="H1100" s="374"/>
    </row>
    <row r="1101" spans="5:8" ht="21" customHeight="1">
      <c r="E1101" s="374"/>
      <c r="F1101" s="374"/>
      <c r="G1101" s="374"/>
      <c r="H1101" s="374"/>
    </row>
    <row r="1102" spans="5:8" ht="21" customHeight="1">
      <c r="E1102" s="374"/>
      <c r="F1102" s="374"/>
      <c r="G1102" s="374"/>
      <c r="H1102" s="374"/>
    </row>
    <row r="1103" spans="5:8" ht="21" customHeight="1">
      <c r="E1103" s="374"/>
      <c r="F1103" s="374"/>
      <c r="G1103" s="374"/>
      <c r="H1103" s="374"/>
    </row>
    <row r="1104" spans="5:8" ht="21" customHeight="1">
      <c r="E1104" s="374"/>
      <c r="F1104" s="374"/>
      <c r="G1104" s="374"/>
      <c r="H1104" s="374"/>
    </row>
    <row r="1105" spans="5:8" ht="21" customHeight="1">
      <c r="E1105" s="374"/>
      <c r="F1105" s="374"/>
      <c r="G1105" s="374"/>
      <c r="H1105" s="374"/>
    </row>
    <row r="1106" spans="5:8" ht="21" customHeight="1">
      <c r="E1106" s="374"/>
      <c r="F1106" s="374"/>
      <c r="G1106" s="374"/>
      <c r="H1106" s="374"/>
    </row>
    <row r="1107" spans="5:8" ht="21" customHeight="1">
      <c r="E1107" s="374"/>
      <c r="F1107" s="374"/>
      <c r="G1107" s="374"/>
      <c r="H1107" s="374"/>
    </row>
    <row r="1108" spans="5:8" ht="21" customHeight="1">
      <c r="E1108" s="374"/>
      <c r="F1108" s="374"/>
      <c r="G1108" s="374"/>
      <c r="H1108" s="374"/>
    </row>
    <row r="1109" spans="5:8" ht="21" customHeight="1">
      <c r="E1109" s="374"/>
      <c r="F1109" s="374"/>
      <c r="G1109" s="374"/>
      <c r="H1109" s="374"/>
    </row>
    <row r="1110" spans="5:8" ht="21" customHeight="1">
      <c r="E1110" s="374"/>
      <c r="F1110" s="374"/>
      <c r="G1110" s="374"/>
      <c r="H1110" s="374"/>
    </row>
    <row r="1111" spans="5:8" ht="21" customHeight="1">
      <c r="E1111" s="374"/>
      <c r="F1111" s="374"/>
      <c r="G1111" s="374"/>
      <c r="H1111" s="374"/>
    </row>
    <row r="1112" spans="5:8" ht="21" customHeight="1">
      <c r="E1112" s="374"/>
      <c r="F1112" s="374"/>
      <c r="G1112" s="374"/>
      <c r="H1112" s="374"/>
    </row>
    <row r="1113" spans="5:8" ht="21" customHeight="1">
      <c r="E1113" s="374"/>
      <c r="F1113" s="374"/>
      <c r="G1113" s="374"/>
      <c r="H1113" s="374"/>
    </row>
    <row r="1114" spans="5:8" ht="21" customHeight="1">
      <c r="E1114" s="374"/>
      <c r="F1114" s="374"/>
      <c r="G1114" s="374"/>
      <c r="H1114" s="374"/>
    </row>
    <row r="1115" spans="5:8" ht="21" customHeight="1">
      <c r="E1115" s="374"/>
      <c r="F1115" s="374"/>
      <c r="G1115" s="374"/>
      <c r="H1115" s="374"/>
    </row>
    <row r="1116" spans="5:8" ht="21" customHeight="1">
      <c r="E1116" s="374"/>
      <c r="F1116" s="374"/>
      <c r="G1116" s="374"/>
      <c r="H1116" s="374"/>
    </row>
    <row r="1117" spans="5:8" ht="21" customHeight="1">
      <c r="E1117" s="374"/>
      <c r="F1117" s="374"/>
      <c r="G1117" s="374"/>
      <c r="H1117" s="374"/>
    </row>
    <row r="1118" spans="5:8" ht="21" customHeight="1">
      <c r="E1118" s="374"/>
      <c r="F1118" s="374"/>
      <c r="G1118" s="374"/>
      <c r="H1118" s="374"/>
    </row>
    <row r="1119" spans="5:8" ht="21" customHeight="1">
      <c r="E1119" s="374"/>
      <c r="F1119" s="374"/>
      <c r="G1119" s="374"/>
      <c r="H1119" s="374"/>
    </row>
    <row r="1120" spans="5:8" ht="21" customHeight="1">
      <c r="E1120" s="374"/>
      <c r="F1120" s="374"/>
      <c r="G1120" s="374"/>
      <c r="H1120" s="374"/>
    </row>
    <row r="1121" spans="5:8" ht="21" customHeight="1">
      <c r="E1121" s="374"/>
      <c r="F1121" s="374"/>
      <c r="G1121" s="374"/>
      <c r="H1121" s="374"/>
    </row>
    <row r="1122" spans="5:8" ht="21" customHeight="1">
      <c r="E1122" s="374"/>
      <c r="F1122" s="374"/>
      <c r="G1122" s="374"/>
      <c r="H1122" s="374"/>
    </row>
    <row r="1123" spans="5:8" ht="21" customHeight="1">
      <c r="E1123" s="374"/>
      <c r="F1123" s="374"/>
      <c r="G1123" s="374"/>
      <c r="H1123" s="374"/>
    </row>
    <row r="1124" spans="5:8" ht="21" customHeight="1">
      <c r="E1124" s="374"/>
      <c r="F1124" s="374"/>
      <c r="G1124" s="374"/>
      <c r="H1124" s="374"/>
    </row>
    <row r="1125" spans="5:8" ht="21" customHeight="1">
      <c r="E1125" s="374"/>
      <c r="F1125" s="374"/>
      <c r="G1125" s="374"/>
      <c r="H1125" s="374"/>
    </row>
    <row r="1126" spans="5:8" ht="21" customHeight="1">
      <c r="E1126" s="374"/>
      <c r="F1126" s="374"/>
      <c r="G1126" s="374"/>
      <c r="H1126" s="374"/>
    </row>
    <row r="1127" spans="5:8" ht="21" customHeight="1">
      <c r="E1127" s="374"/>
      <c r="F1127" s="374"/>
      <c r="G1127" s="374"/>
      <c r="H1127" s="374"/>
    </row>
    <row r="1128" spans="5:8" ht="21" customHeight="1">
      <c r="E1128" s="374"/>
      <c r="F1128" s="374"/>
      <c r="G1128" s="374"/>
      <c r="H1128" s="374"/>
    </row>
    <row r="1129" spans="5:8" ht="21" customHeight="1">
      <c r="E1129" s="374"/>
      <c r="F1129" s="374"/>
      <c r="G1129" s="374"/>
      <c r="H1129" s="374"/>
    </row>
    <row r="1130" spans="5:8" ht="21" customHeight="1">
      <c r="E1130" s="374"/>
      <c r="F1130" s="374"/>
      <c r="G1130" s="374"/>
      <c r="H1130" s="374"/>
    </row>
    <row r="1131" spans="5:8" ht="21" customHeight="1">
      <c r="E1131" s="374"/>
      <c r="F1131" s="374"/>
      <c r="G1131" s="374"/>
      <c r="H1131" s="374"/>
    </row>
    <row r="1132" spans="5:8" ht="21" customHeight="1">
      <c r="E1132" s="374"/>
      <c r="F1132" s="374"/>
      <c r="G1132" s="374"/>
      <c r="H1132" s="374"/>
    </row>
    <row r="1133" spans="5:8" ht="21" customHeight="1">
      <c r="E1133" s="374"/>
      <c r="F1133" s="374"/>
      <c r="G1133" s="374"/>
      <c r="H1133" s="374"/>
    </row>
    <row r="1134" spans="5:8" ht="21" customHeight="1">
      <c r="E1134" s="374"/>
      <c r="F1134" s="374"/>
      <c r="G1134" s="374"/>
      <c r="H1134" s="374"/>
    </row>
    <row r="1135" spans="5:8" ht="21" customHeight="1">
      <c r="E1135" s="374"/>
      <c r="F1135" s="374"/>
      <c r="G1135" s="374"/>
      <c r="H1135" s="374"/>
    </row>
    <row r="1136" spans="5:8" ht="21" customHeight="1">
      <c r="E1136" s="374"/>
      <c r="F1136" s="374"/>
      <c r="G1136" s="374"/>
      <c r="H1136" s="374"/>
    </row>
    <row r="1137" spans="5:8" ht="21" customHeight="1">
      <c r="E1137" s="374"/>
      <c r="F1137" s="374"/>
      <c r="G1137" s="374"/>
      <c r="H1137" s="374"/>
    </row>
    <row r="1138" spans="5:8" ht="21" customHeight="1">
      <c r="E1138" s="374"/>
      <c r="F1138" s="374"/>
      <c r="G1138" s="374"/>
      <c r="H1138" s="374"/>
    </row>
    <row r="1139" spans="5:8" ht="21" customHeight="1">
      <c r="E1139" s="374"/>
      <c r="F1139" s="374"/>
      <c r="G1139" s="374"/>
      <c r="H1139" s="374"/>
    </row>
    <row r="1140" spans="5:8" ht="21" customHeight="1">
      <c r="E1140" s="374"/>
      <c r="F1140" s="374"/>
      <c r="G1140" s="374"/>
      <c r="H1140" s="374"/>
    </row>
    <row r="1141" spans="5:8" ht="21" customHeight="1">
      <c r="E1141" s="374"/>
      <c r="F1141" s="374"/>
      <c r="G1141" s="374"/>
      <c r="H1141" s="374"/>
    </row>
    <row r="1142" spans="5:8" ht="21" customHeight="1">
      <c r="E1142" s="374"/>
      <c r="F1142" s="374"/>
      <c r="G1142" s="374"/>
      <c r="H1142" s="374"/>
    </row>
    <row r="1143" spans="5:8" ht="21" customHeight="1">
      <c r="E1143" s="374"/>
      <c r="F1143" s="374"/>
      <c r="G1143" s="374"/>
      <c r="H1143" s="374"/>
    </row>
    <row r="1144" spans="5:8" ht="21" customHeight="1">
      <c r="E1144" s="374"/>
      <c r="F1144" s="374"/>
      <c r="G1144" s="374"/>
      <c r="H1144" s="374"/>
    </row>
    <row r="1145" spans="5:8" ht="21" customHeight="1">
      <c r="E1145" s="374"/>
      <c r="F1145" s="374"/>
      <c r="G1145" s="374"/>
      <c r="H1145" s="374"/>
    </row>
    <row r="1146" spans="5:8" ht="21" customHeight="1">
      <c r="E1146" s="374"/>
      <c r="F1146" s="374"/>
      <c r="G1146" s="374"/>
      <c r="H1146" s="374"/>
    </row>
    <row r="1147" spans="5:8" ht="21" customHeight="1">
      <c r="E1147" s="374"/>
      <c r="F1147" s="374"/>
      <c r="G1147" s="374"/>
      <c r="H1147" s="374"/>
    </row>
    <row r="1148" spans="5:8" ht="21" customHeight="1">
      <c r="E1148" s="374"/>
      <c r="F1148" s="374"/>
      <c r="G1148" s="374"/>
      <c r="H1148" s="374"/>
    </row>
    <row r="1149" spans="5:8" ht="21" customHeight="1">
      <c r="E1149" s="374"/>
      <c r="F1149" s="374"/>
      <c r="G1149" s="374"/>
      <c r="H1149" s="374"/>
    </row>
    <row r="1150" spans="5:8" ht="21" customHeight="1">
      <c r="E1150" s="374"/>
      <c r="F1150" s="374"/>
      <c r="G1150" s="374"/>
      <c r="H1150" s="374"/>
    </row>
    <row r="1151" spans="5:8" ht="21" customHeight="1">
      <c r="E1151" s="374"/>
      <c r="F1151" s="374"/>
      <c r="G1151" s="374"/>
      <c r="H1151" s="374"/>
    </row>
    <row r="1152" spans="5:8" ht="21" customHeight="1">
      <c r="E1152" s="374"/>
      <c r="F1152" s="374"/>
      <c r="G1152" s="374"/>
      <c r="H1152" s="374"/>
    </row>
    <row r="1153" spans="5:8" ht="21" customHeight="1">
      <c r="E1153" s="374"/>
      <c r="F1153" s="374"/>
      <c r="G1153" s="374"/>
      <c r="H1153" s="374"/>
    </row>
    <row r="1154" spans="5:8" ht="21" customHeight="1">
      <c r="E1154" s="374"/>
      <c r="F1154" s="374"/>
      <c r="G1154" s="374"/>
      <c r="H1154" s="374"/>
    </row>
    <row r="1155" spans="5:8" ht="21" customHeight="1">
      <c r="E1155" s="374"/>
      <c r="F1155" s="374"/>
      <c r="G1155" s="374"/>
      <c r="H1155" s="374"/>
    </row>
    <row r="1156" spans="5:8" ht="21" customHeight="1">
      <c r="E1156" s="374"/>
      <c r="F1156" s="374"/>
      <c r="G1156" s="374"/>
      <c r="H1156" s="374"/>
    </row>
    <row r="1157" spans="5:8" ht="21" customHeight="1">
      <c r="E1157" s="374"/>
      <c r="F1157" s="374"/>
      <c r="G1157" s="374"/>
      <c r="H1157" s="374"/>
    </row>
    <row r="1158" spans="5:8" ht="21" customHeight="1">
      <c r="E1158" s="374"/>
      <c r="F1158" s="374"/>
      <c r="G1158" s="374"/>
      <c r="H1158" s="374"/>
    </row>
    <row r="1159" spans="5:8" ht="21" customHeight="1">
      <c r="E1159" s="374"/>
      <c r="F1159" s="374"/>
      <c r="G1159" s="374"/>
      <c r="H1159" s="374"/>
    </row>
    <row r="1160" spans="5:8" ht="21" customHeight="1">
      <c r="E1160" s="374"/>
      <c r="F1160" s="374"/>
      <c r="G1160" s="374"/>
      <c r="H1160" s="374"/>
    </row>
    <row r="1161" spans="5:8" ht="21" customHeight="1">
      <c r="E1161" s="374"/>
      <c r="F1161" s="374"/>
      <c r="G1161" s="374"/>
      <c r="H1161" s="374"/>
    </row>
    <row r="1162" spans="5:8" ht="21" customHeight="1">
      <c r="E1162" s="374"/>
      <c r="F1162" s="374"/>
      <c r="G1162" s="374"/>
      <c r="H1162" s="374"/>
    </row>
    <row r="1163" spans="5:8" ht="21" customHeight="1">
      <c r="E1163" s="374"/>
      <c r="F1163" s="374"/>
      <c r="G1163" s="374"/>
      <c r="H1163" s="374"/>
    </row>
    <row r="1164" spans="5:8" ht="21" customHeight="1">
      <c r="E1164" s="374"/>
      <c r="F1164" s="374"/>
      <c r="G1164" s="374"/>
      <c r="H1164" s="374"/>
    </row>
    <row r="1165" spans="5:8" ht="21" customHeight="1">
      <c r="E1165" s="374"/>
      <c r="F1165" s="374"/>
      <c r="G1165" s="374"/>
      <c r="H1165" s="374"/>
    </row>
    <row r="1166" spans="5:8" ht="21" customHeight="1">
      <c r="E1166" s="374"/>
      <c r="F1166" s="374"/>
      <c r="G1166" s="374"/>
      <c r="H1166" s="374"/>
    </row>
    <row r="1167" spans="5:8" ht="21" customHeight="1">
      <c r="E1167" s="374"/>
      <c r="F1167" s="374"/>
      <c r="G1167" s="374"/>
      <c r="H1167" s="374"/>
    </row>
    <row r="1168" spans="5:8" ht="21" customHeight="1">
      <c r="E1168" s="374"/>
      <c r="F1168" s="374"/>
      <c r="G1168" s="374"/>
      <c r="H1168" s="374"/>
    </row>
    <row r="1169" spans="5:8" ht="21" customHeight="1">
      <c r="E1169" s="374"/>
      <c r="F1169" s="374"/>
      <c r="G1169" s="374"/>
      <c r="H1169" s="374"/>
    </row>
    <row r="1170" spans="5:8" ht="21" customHeight="1">
      <c r="E1170" s="374"/>
      <c r="F1170" s="374"/>
      <c r="G1170" s="374"/>
      <c r="H1170" s="374"/>
    </row>
    <row r="1171" spans="5:8" ht="21" customHeight="1">
      <c r="E1171" s="374"/>
      <c r="F1171" s="374"/>
      <c r="G1171" s="374"/>
      <c r="H1171" s="374"/>
    </row>
    <row r="1172" spans="5:8" ht="21" customHeight="1">
      <c r="E1172" s="374"/>
      <c r="F1172" s="374"/>
      <c r="G1172" s="374"/>
      <c r="H1172" s="374"/>
    </row>
    <row r="1173" spans="5:8" ht="21" customHeight="1">
      <c r="E1173" s="374"/>
      <c r="F1173" s="374"/>
      <c r="G1173" s="374"/>
      <c r="H1173" s="374"/>
    </row>
    <row r="1174" spans="5:8" ht="21" customHeight="1">
      <c r="E1174" s="374"/>
      <c r="F1174" s="374"/>
      <c r="G1174" s="374"/>
      <c r="H1174" s="374"/>
    </row>
    <row r="1175" spans="5:8" ht="21" customHeight="1">
      <c r="E1175" s="374"/>
      <c r="F1175" s="374"/>
      <c r="G1175" s="374"/>
      <c r="H1175" s="374"/>
    </row>
    <row r="1176" spans="5:8" ht="21" customHeight="1">
      <c r="E1176" s="374"/>
      <c r="F1176" s="374"/>
      <c r="G1176" s="374"/>
      <c r="H1176" s="374"/>
    </row>
    <row r="1177" spans="5:8" ht="21" customHeight="1">
      <c r="E1177" s="374"/>
      <c r="F1177" s="374"/>
      <c r="G1177" s="374"/>
      <c r="H1177" s="374"/>
    </row>
    <row r="1178" spans="5:8" ht="21" customHeight="1">
      <c r="E1178" s="374"/>
      <c r="F1178" s="374"/>
      <c r="G1178" s="374"/>
      <c r="H1178" s="374"/>
    </row>
    <row r="1179" spans="5:8" ht="21" customHeight="1">
      <c r="E1179" s="374"/>
      <c r="F1179" s="374"/>
      <c r="G1179" s="374"/>
      <c r="H1179" s="374"/>
    </row>
    <row r="1180" spans="5:8" ht="21" customHeight="1">
      <c r="E1180" s="374"/>
      <c r="F1180" s="374"/>
      <c r="G1180" s="374"/>
      <c r="H1180" s="374"/>
    </row>
    <row r="1181" spans="5:8" ht="21" customHeight="1">
      <c r="E1181" s="374"/>
      <c r="F1181" s="374"/>
      <c r="G1181" s="374"/>
      <c r="H1181" s="374"/>
    </row>
    <row r="1182" spans="5:8" ht="21" customHeight="1">
      <c r="E1182" s="374"/>
      <c r="F1182" s="374"/>
      <c r="G1182" s="374"/>
      <c r="H1182" s="374"/>
    </row>
    <row r="1183" spans="5:8" ht="21" customHeight="1">
      <c r="E1183" s="374"/>
      <c r="F1183" s="374"/>
      <c r="G1183" s="374"/>
      <c r="H1183" s="374"/>
    </row>
    <row r="1184" spans="5:8" ht="21" customHeight="1">
      <c r="E1184" s="374"/>
      <c r="F1184" s="374"/>
      <c r="G1184" s="374"/>
      <c r="H1184" s="374"/>
    </row>
    <row r="1185" spans="5:8" ht="21" customHeight="1">
      <c r="E1185" s="374"/>
      <c r="F1185" s="374"/>
      <c r="G1185" s="374"/>
      <c r="H1185" s="374"/>
    </row>
    <row r="1186" spans="5:8" ht="21" customHeight="1">
      <c r="E1186" s="374"/>
      <c r="F1186" s="374"/>
      <c r="G1186" s="374"/>
      <c r="H1186" s="374"/>
    </row>
    <row r="1187" spans="5:8" ht="21" customHeight="1">
      <c r="E1187" s="374"/>
      <c r="F1187" s="374"/>
      <c r="G1187" s="374"/>
      <c r="H1187" s="374"/>
    </row>
    <row r="1188" spans="5:8" ht="21" customHeight="1">
      <c r="E1188" s="374"/>
      <c r="F1188" s="374"/>
      <c r="G1188" s="374"/>
      <c r="H1188" s="374"/>
    </row>
    <row r="1189" spans="5:8" ht="21" customHeight="1">
      <c r="E1189" s="374"/>
      <c r="F1189" s="374"/>
      <c r="G1189" s="374"/>
      <c r="H1189" s="374"/>
    </row>
    <row r="1190" spans="5:8" ht="21" customHeight="1">
      <c r="E1190" s="374"/>
      <c r="F1190" s="374"/>
      <c r="G1190" s="374"/>
      <c r="H1190" s="374"/>
    </row>
    <row r="1191" spans="5:8" ht="21" customHeight="1">
      <c r="E1191" s="374"/>
      <c r="F1191" s="374"/>
      <c r="G1191" s="374"/>
      <c r="H1191" s="374"/>
    </row>
    <row r="1192" spans="5:8" ht="21" customHeight="1">
      <c r="E1192" s="374"/>
      <c r="F1192" s="374"/>
      <c r="G1192" s="374"/>
      <c r="H1192" s="374"/>
    </row>
    <row r="1193" spans="5:8" ht="21" customHeight="1">
      <c r="E1193" s="374"/>
      <c r="F1193" s="374"/>
      <c r="G1193" s="374"/>
      <c r="H1193" s="374"/>
    </row>
    <row r="1194" spans="5:8" ht="21" customHeight="1">
      <c r="E1194" s="374"/>
      <c r="F1194" s="374"/>
      <c r="G1194" s="374"/>
      <c r="H1194" s="374"/>
    </row>
    <row r="1195" spans="5:8" ht="21" customHeight="1">
      <c r="E1195" s="374"/>
      <c r="F1195" s="374"/>
      <c r="G1195" s="374"/>
      <c r="H1195" s="374"/>
    </row>
    <row r="1196" spans="5:8" ht="21" customHeight="1">
      <c r="E1196" s="374"/>
      <c r="F1196" s="374"/>
      <c r="G1196" s="374"/>
      <c r="H1196" s="374"/>
    </row>
    <row r="1197" spans="5:8" ht="21" customHeight="1">
      <c r="E1197" s="374"/>
      <c r="F1197" s="374"/>
      <c r="G1197" s="374"/>
      <c r="H1197" s="374"/>
    </row>
    <row r="1198" spans="5:8" ht="21" customHeight="1">
      <c r="E1198" s="374"/>
      <c r="F1198" s="374"/>
      <c r="G1198" s="374"/>
      <c r="H1198" s="374"/>
    </row>
    <row r="1199" spans="5:8" ht="21" customHeight="1">
      <c r="E1199" s="374"/>
      <c r="F1199" s="374"/>
      <c r="G1199" s="374"/>
      <c r="H1199" s="374"/>
    </row>
    <row r="1200" spans="5:8" ht="21" customHeight="1">
      <c r="E1200" s="374"/>
      <c r="F1200" s="374"/>
      <c r="G1200" s="374"/>
      <c r="H1200" s="374"/>
    </row>
    <row r="1201" spans="5:8" ht="21" customHeight="1">
      <c r="E1201" s="374"/>
      <c r="F1201" s="374"/>
      <c r="G1201" s="374"/>
      <c r="H1201" s="374"/>
    </row>
    <row r="1202" spans="5:8" ht="21" customHeight="1">
      <c r="E1202" s="374"/>
      <c r="F1202" s="374"/>
      <c r="G1202" s="374"/>
      <c r="H1202" s="374"/>
    </row>
    <row r="1203" spans="5:8" ht="21" customHeight="1">
      <c r="E1203" s="374"/>
      <c r="F1203" s="374"/>
      <c r="G1203" s="374"/>
      <c r="H1203" s="374"/>
    </row>
    <row r="1204" spans="5:8" ht="21" customHeight="1">
      <c r="E1204" s="374"/>
      <c r="F1204" s="374"/>
      <c r="G1204" s="374"/>
      <c r="H1204" s="374"/>
    </row>
    <row r="1205" spans="5:8" ht="21" customHeight="1">
      <c r="E1205" s="374"/>
      <c r="F1205" s="374"/>
      <c r="G1205" s="374"/>
      <c r="H1205" s="374"/>
    </row>
    <row r="1206" spans="5:8" ht="21" customHeight="1">
      <c r="E1206" s="374"/>
      <c r="F1206" s="374"/>
      <c r="G1206" s="374"/>
      <c r="H1206" s="374"/>
    </row>
    <row r="1207" spans="5:8" ht="21" customHeight="1">
      <c r="E1207" s="374"/>
      <c r="F1207" s="374"/>
      <c r="G1207" s="374"/>
      <c r="H1207" s="374"/>
    </row>
    <row r="1208" spans="5:8" ht="21" customHeight="1">
      <c r="E1208" s="374"/>
      <c r="F1208" s="374"/>
      <c r="G1208" s="374"/>
      <c r="H1208" s="374"/>
    </row>
    <row r="1209" spans="5:8" ht="21" customHeight="1">
      <c r="E1209" s="374"/>
      <c r="F1209" s="374"/>
      <c r="G1209" s="374"/>
      <c r="H1209" s="374"/>
    </row>
    <row r="1210" spans="5:8" ht="21" customHeight="1">
      <c r="E1210" s="374"/>
      <c r="F1210" s="374"/>
      <c r="G1210" s="374"/>
      <c r="H1210" s="374"/>
    </row>
    <row r="1211" spans="5:8" ht="21" customHeight="1">
      <c r="E1211" s="374"/>
      <c r="F1211" s="374"/>
      <c r="G1211" s="374"/>
      <c r="H1211" s="374"/>
    </row>
    <row r="1212" spans="5:8" ht="21" customHeight="1">
      <c r="E1212" s="374"/>
      <c r="F1212" s="374"/>
      <c r="G1212" s="374"/>
      <c r="H1212" s="374"/>
    </row>
    <row r="1213" spans="5:8" ht="21" customHeight="1">
      <c r="E1213" s="374"/>
      <c r="F1213" s="374"/>
      <c r="G1213" s="374"/>
      <c r="H1213" s="374"/>
    </row>
    <row r="1214" spans="5:8" ht="21" customHeight="1">
      <c r="E1214" s="374"/>
      <c r="F1214" s="374"/>
      <c r="G1214" s="374"/>
      <c r="H1214" s="374"/>
    </row>
    <row r="1215" spans="5:8" ht="21" customHeight="1">
      <c r="E1215" s="374"/>
      <c r="F1215" s="374"/>
      <c r="G1215" s="374"/>
      <c r="H1215" s="374"/>
    </row>
    <row r="1216" spans="5:8" ht="21" customHeight="1">
      <c r="E1216" s="374"/>
      <c r="F1216" s="374"/>
      <c r="G1216" s="374"/>
      <c r="H1216" s="374"/>
    </row>
    <row r="1217" spans="5:8" ht="21" customHeight="1">
      <c r="E1217" s="374"/>
      <c r="F1217" s="374"/>
      <c r="G1217" s="374"/>
      <c r="H1217" s="374"/>
    </row>
  </sheetData>
  <mergeCells count="628">
    <mergeCell ref="T152:T153"/>
    <mergeCell ref="S142:T143"/>
    <mergeCell ref="S169:T170"/>
    <mergeCell ref="S168:T168"/>
    <mergeCell ref="S158:T165"/>
    <mergeCell ref="T156:T157"/>
    <mergeCell ref="T154:T155"/>
    <mergeCell ref="R162:R163"/>
    <mergeCell ref="P162:P163"/>
    <mergeCell ref="Q162:Q163"/>
    <mergeCell ref="Q158:Q161"/>
    <mergeCell ref="R158:R161"/>
    <mergeCell ref="P158:P161"/>
    <mergeCell ref="Q164:Q165"/>
    <mergeCell ref="R164:R165"/>
    <mergeCell ref="P164:P165"/>
    <mergeCell ref="S144:T147"/>
    <mergeCell ref="S149:T151"/>
    <mergeCell ref="S148:T148"/>
    <mergeCell ref="Q156:Q157"/>
    <mergeCell ref="R156:R157"/>
    <mergeCell ref="P149:P151"/>
    <mergeCell ref="Q149:Q151"/>
    <mergeCell ref="Q154:Q155"/>
    <mergeCell ref="R144:R147"/>
    <mergeCell ref="P144:P147"/>
    <mergeCell ref="Q144:Q147"/>
    <mergeCell ref="Q137:Q139"/>
    <mergeCell ref="R137:R139"/>
    <mergeCell ref="R140:R141"/>
    <mergeCell ref="R123:R126"/>
    <mergeCell ref="P142:P143"/>
    <mergeCell ref="Q142:Q143"/>
    <mergeCell ref="P123:P126"/>
    <mergeCell ref="S135:T136"/>
    <mergeCell ref="O140:O141"/>
    <mergeCell ref="N142:N143"/>
    <mergeCell ref="O142:O143"/>
    <mergeCell ref="Q135:Q136"/>
    <mergeCell ref="R135:R136"/>
    <mergeCell ref="Q140:Q141"/>
    <mergeCell ref="P135:P136"/>
    <mergeCell ref="P137:P139"/>
    <mergeCell ref="N140:N141"/>
    <mergeCell ref="R142:R143"/>
    <mergeCell ref="S140:T141"/>
    <mergeCell ref="S137:T139"/>
    <mergeCell ref="P140:P141"/>
    <mergeCell ref="P1:T1"/>
    <mergeCell ref="S14:T15"/>
    <mergeCell ref="A2:T2"/>
    <mergeCell ref="A12:T12"/>
    <mergeCell ref="B14:B15"/>
    <mergeCell ref="A14:A15"/>
    <mergeCell ref="B37:B40"/>
    <mergeCell ref="A29:A32"/>
    <mergeCell ref="B29:B32"/>
    <mergeCell ref="C29:C32"/>
    <mergeCell ref="K29:K32"/>
    <mergeCell ref="C37:C40"/>
    <mergeCell ref="S17:T20"/>
    <mergeCell ref="S37:T38"/>
    <mergeCell ref="S39:T40"/>
    <mergeCell ref="R37:R40"/>
    <mergeCell ref="P17:P20"/>
    <mergeCell ref="Q17:Q20"/>
    <mergeCell ref="M25:M28"/>
    <mergeCell ref="P25:P28"/>
    <mergeCell ref="A17:A20"/>
    <mergeCell ref="B17:B20"/>
    <mergeCell ref="B25:B28"/>
    <mergeCell ref="A11:E11"/>
    <mergeCell ref="L29:L32"/>
    <mergeCell ref="P14:R14"/>
    <mergeCell ref="R29:R32"/>
    <mergeCell ref="P41:P44"/>
    <mergeCell ref="Q41:Q44"/>
    <mergeCell ref="R41:R44"/>
    <mergeCell ref="P37:P40"/>
    <mergeCell ref="Q37:Q40"/>
    <mergeCell ref="Q33:Q36"/>
    <mergeCell ref="Q25:Q28"/>
    <mergeCell ref="R25:R28"/>
    <mergeCell ref="N14:O14"/>
    <mergeCell ref="N19:N20"/>
    <mergeCell ref="O19:O20"/>
    <mergeCell ref="M21:M24"/>
    <mergeCell ref="N37:N40"/>
    <mergeCell ref="O37:O40"/>
    <mergeCell ref="M29:M32"/>
    <mergeCell ref="P29:P32"/>
    <mergeCell ref="Q29:Q32"/>
    <mergeCell ref="R21:R24"/>
    <mergeCell ref="P21:P24"/>
    <mergeCell ref="Q21:Q24"/>
    <mergeCell ref="J14:J15"/>
    <mergeCell ref="J37:J40"/>
    <mergeCell ref="C17:C20"/>
    <mergeCell ref="K17:K20"/>
    <mergeCell ref="A25:A28"/>
    <mergeCell ref="K21:K24"/>
    <mergeCell ref="C21:C24"/>
    <mergeCell ref="L17:L20"/>
    <mergeCell ref="C25:C28"/>
    <mergeCell ref="K25:K28"/>
    <mergeCell ref="L25:L28"/>
    <mergeCell ref="F14:F15"/>
    <mergeCell ref="G14:G15"/>
    <mergeCell ref="H14:H15"/>
    <mergeCell ref="K37:K40"/>
    <mergeCell ref="L37:L40"/>
    <mergeCell ref="J17:J20"/>
    <mergeCell ref="K33:K36"/>
    <mergeCell ref="I14:I15"/>
    <mergeCell ref="C14:C15"/>
    <mergeCell ref="D14:D15"/>
    <mergeCell ref="E14:E15"/>
    <mergeCell ref="L21:L24"/>
    <mergeCell ref="L33:L36"/>
    <mergeCell ref="A67:A69"/>
    <mergeCell ref="A64:A66"/>
    <mergeCell ref="A51:A52"/>
    <mergeCell ref="B51:B52"/>
    <mergeCell ref="C51:C52"/>
    <mergeCell ref="A45:A48"/>
    <mergeCell ref="B45:B48"/>
    <mergeCell ref="A37:A40"/>
    <mergeCell ref="A41:A44"/>
    <mergeCell ref="B41:B44"/>
    <mergeCell ref="C45:C48"/>
    <mergeCell ref="A49:A50"/>
    <mergeCell ref="B49:B50"/>
    <mergeCell ref="C49:C50"/>
    <mergeCell ref="C41:C44"/>
    <mergeCell ref="L49:L50"/>
    <mergeCell ref="K49:K50"/>
    <mergeCell ref="K62:K63"/>
    <mergeCell ref="J49:J50"/>
    <mergeCell ref="A33:A36"/>
    <mergeCell ref="B33:B36"/>
    <mergeCell ref="C33:C36"/>
    <mergeCell ref="A62:A63"/>
    <mergeCell ref="B62:B63"/>
    <mergeCell ref="C62:C63"/>
    <mergeCell ref="K51:K52"/>
    <mergeCell ref="A70:A74"/>
    <mergeCell ref="B70:B74"/>
    <mergeCell ref="C70:C74"/>
    <mergeCell ref="K70:K74"/>
    <mergeCell ref="K45:K48"/>
    <mergeCell ref="L45:L48"/>
    <mergeCell ref="L51:L52"/>
    <mergeCell ref="M51:M52"/>
    <mergeCell ref="J51:J52"/>
    <mergeCell ref="J62:J63"/>
    <mergeCell ref="B64:B66"/>
    <mergeCell ref="C64:C66"/>
    <mergeCell ref="B67:B69"/>
    <mergeCell ref="C67:C69"/>
    <mergeCell ref="K67:K69"/>
    <mergeCell ref="J67:J69"/>
    <mergeCell ref="J64:J66"/>
    <mergeCell ref="K64:K66"/>
    <mergeCell ref="L64:L66"/>
    <mergeCell ref="L62:L63"/>
    <mergeCell ref="L67:L69"/>
    <mergeCell ref="M67:M69"/>
    <mergeCell ref="M62:M63"/>
    <mergeCell ref="K75:O75"/>
    <mergeCell ref="O70:O74"/>
    <mergeCell ref="O76:O77"/>
    <mergeCell ref="N78:N79"/>
    <mergeCell ref="O78:O79"/>
    <mergeCell ref="A78:A79"/>
    <mergeCell ref="B78:B79"/>
    <mergeCell ref="K76:K77"/>
    <mergeCell ref="J76:J77"/>
    <mergeCell ref="A76:A77"/>
    <mergeCell ref="B76:B77"/>
    <mergeCell ref="C76:C77"/>
    <mergeCell ref="J70:J74"/>
    <mergeCell ref="M70:M74"/>
    <mergeCell ref="L70:L74"/>
    <mergeCell ref="N70:N74"/>
    <mergeCell ref="L76:L77"/>
    <mergeCell ref="M76:M77"/>
    <mergeCell ref="N76:N77"/>
    <mergeCell ref="M127:M130"/>
    <mergeCell ref="K123:K126"/>
    <mergeCell ref="L123:L126"/>
    <mergeCell ref="M123:M126"/>
    <mergeCell ref="K104:X104"/>
    <mergeCell ref="C78:C79"/>
    <mergeCell ref="K78:K79"/>
    <mergeCell ref="L78:L79"/>
    <mergeCell ref="M78:M79"/>
    <mergeCell ref="S127:T130"/>
    <mergeCell ref="S119:T122"/>
    <mergeCell ref="P113:P116"/>
    <mergeCell ref="Q113:Q116"/>
    <mergeCell ref="R113:R116"/>
    <mergeCell ref="P78:P79"/>
    <mergeCell ref="P80:P81"/>
    <mergeCell ref="Q123:Q126"/>
    <mergeCell ref="P127:P130"/>
    <mergeCell ref="P109:P112"/>
    <mergeCell ref="R105:R108"/>
    <mergeCell ref="M83:M84"/>
    <mergeCell ref="Q119:Q122"/>
    <mergeCell ref="A80:A81"/>
    <mergeCell ref="B80:B81"/>
    <mergeCell ref="C80:C81"/>
    <mergeCell ref="K80:K81"/>
    <mergeCell ref="N80:N81"/>
    <mergeCell ref="O80:O81"/>
    <mergeCell ref="L80:L81"/>
    <mergeCell ref="M80:M81"/>
    <mergeCell ref="J80:J81"/>
    <mergeCell ref="P100:P101"/>
    <mergeCell ref="L140:L141"/>
    <mergeCell ref="L83:L84"/>
    <mergeCell ref="K127:K130"/>
    <mergeCell ref="L117:L118"/>
    <mergeCell ref="K119:K122"/>
    <mergeCell ref="J78:J79"/>
    <mergeCell ref="J140:J141"/>
    <mergeCell ref="L119:L122"/>
    <mergeCell ref="L131:L134"/>
    <mergeCell ref="M135:M136"/>
    <mergeCell ref="M140:M141"/>
    <mergeCell ref="N119:N122"/>
    <mergeCell ref="O119:O122"/>
    <mergeCell ref="M137:M139"/>
    <mergeCell ref="N135:N136"/>
    <mergeCell ref="O135:O136"/>
    <mergeCell ref="N137:N139"/>
    <mergeCell ref="O137:O139"/>
    <mergeCell ref="L135:L136"/>
    <mergeCell ref="J135:J136"/>
    <mergeCell ref="M113:M116"/>
    <mergeCell ref="L102:L103"/>
    <mergeCell ref="M102:M103"/>
    <mergeCell ref="Q152:Q153"/>
    <mergeCell ref="X137:X139"/>
    <mergeCell ref="R117:R118"/>
    <mergeCell ref="M109:M112"/>
    <mergeCell ref="X140:X141"/>
    <mergeCell ref="X149:X151"/>
    <mergeCell ref="P102:P103"/>
    <mergeCell ref="P119:P122"/>
    <mergeCell ref="Q102:Q103"/>
    <mergeCell ref="M105:M108"/>
    <mergeCell ref="P105:P108"/>
    <mergeCell ref="N102:N103"/>
    <mergeCell ref="O102:O103"/>
    <mergeCell ref="N105:N108"/>
    <mergeCell ref="O105:O108"/>
    <mergeCell ref="X107:X108"/>
    <mergeCell ref="X117:X118"/>
    <mergeCell ref="S102:T103"/>
    <mergeCell ref="Q127:Q130"/>
    <mergeCell ref="Q117:Q118"/>
    <mergeCell ref="X119:X122"/>
    <mergeCell ref="N127:N130"/>
    <mergeCell ref="O127:O130"/>
    <mergeCell ref="K148:O148"/>
    <mergeCell ref="K137:K139"/>
    <mergeCell ref="M117:M118"/>
    <mergeCell ref="P117:P118"/>
    <mergeCell ref="O117:O118"/>
    <mergeCell ref="K135:K136"/>
    <mergeCell ref="L127:L130"/>
    <mergeCell ref="J119:J122"/>
    <mergeCell ref="M154:M155"/>
    <mergeCell ref="P154:P155"/>
    <mergeCell ref="M152:M153"/>
    <mergeCell ref="P152:P153"/>
    <mergeCell ref="J149:J151"/>
    <mergeCell ref="L149:L151"/>
    <mergeCell ref="K142:K143"/>
    <mergeCell ref="J142:J143"/>
    <mergeCell ref="N149:N151"/>
    <mergeCell ref="O149:O151"/>
    <mergeCell ref="L144:L147"/>
    <mergeCell ref="M144:M147"/>
    <mergeCell ref="J144:J147"/>
    <mergeCell ref="M142:M143"/>
    <mergeCell ref="L142:L143"/>
    <mergeCell ref="K149:K151"/>
    <mergeCell ref="M149:M151"/>
    <mergeCell ref="R154:R155"/>
    <mergeCell ref="M156:M157"/>
    <mergeCell ref="P156:P157"/>
    <mergeCell ref="R152:R153"/>
    <mergeCell ref="Q83:Q84"/>
    <mergeCell ref="K85:K86"/>
    <mergeCell ref="L85:L86"/>
    <mergeCell ref="Q91:Q92"/>
    <mergeCell ref="M89:M90"/>
    <mergeCell ref="P89:P90"/>
    <mergeCell ref="Q89:Q90"/>
    <mergeCell ref="M91:M92"/>
    <mergeCell ref="P91:P92"/>
    <mergeCell ref="Q85:Q86"/>
    <mergeCell ref="N89:N90"/>
    <mergeCell ref="O89:O90"/>
    <mergeCell ref="N91:N92"/>
    <mergeCell ref="O91:O92"/>
    <mergeCell ref="P85:P86"/>
    <mergeCell ref="M85:M86"/>
    <mergeCell ref="N83:N84"/>
    <mergeCell ref="N85:N86"/>
    <mergeCell ref="O85:O86"/>
    <mergeCell ref="P83:P84"/>
    <mergeCell ref="P94:P95"/>
    <mergeCell ref="Q94:Q95"/>
    <mergeCell ref="K89:K90"/>
    <mergeCell ref="L89:L90"/>
    <mergeCell ref="K91:K92"/>
    <mergeCell ref="L91:L92"/>
    <mergeCell ref="C91:C92"/>
    <mergeCell ref="O94:O95"/>
    <mergeCell ref="O98:O99"/>
    <mergeCell ref="J89:J90"/>
    <mergeCell ref="J91:J92"/>
    <mergeCell ref="K96:K97"/>
    <mergeCell ref="L96:L97"/>
    <mergeCell ref="M96:M97"/>
    <mergeCell ref="P96:P97"/>
    <mergeCell ref="N96:N97"/>
    <mergeCell ref="O96:O97"/>
    <mergeCell ref="M98:M99"/>
    <mergeCell ref="P98:P99"/>
    <mergeCell ref="N98:N99"/>
    <mergeCell ref="C89:C90"/>
    <mergeCell ref="A117:A118"/>
    <mergeCell ref="J85:J86"/>
    <mergeCell ref="J83:J84"/>
    <mergeCell ref="A100:A101"/>
    <mergeCell ref="A113:A116"/>
    <mergeCell ref="A123:A126"/>
    <mergeCell ref="A91:A92"/>
    <mergeCell ref="A94:A95"/>
    <mergeCell ref="B94:B95"/>
    <mergeCell ref="C117:C118"/>
    <mergeCell ref="A105:A108"/>
    <mergeCell ref="A102:A103"/>
    <mergeCell ref="A98:A99"/>
    <mergeCell ref="J100:J101"/>
    <mergeCell ref="C131:C134"/>
    <mergeCell ref="B135:B136"/>
    <mergeCell ref="B100:B101"/>
    <mergeCell ref="A96:A97"/>
    <mergeCell ref="B96:B97"/>
    <mergeCell ref="C96:C97"/>
    <mergeCell ref="A109:A112"/>
    <mergeCell ref="C100:C101"/>
    <mergeCell ref="C98:C99"/>
    <mergeCell ref="B98:B99"/>
    <mergeCell ref="B117:B118"/>
    <mergeCell ref="A85:A86"/>
    <mergeCell ref="B85:B86"/>
    <mergeCell ref="B91:B92"/>
    <mergeCell ref="A89:A90"/>
    <mergeCell ref="B89:B90"/>
    <mergeCell ref="A131:A134"/>
    <mergeCell ref="B131:B134"/>
    <mergeCell ref="R100:R101"/>
    <mergeCell ref="R102:R103"/>
    <mergeCell ref="Q96:Q97"/>
    <mergeCell ref="R98:R99"/>
    <mergeCell ref="R96:R97"/>
    <mergeCell ref="Q109:Q112"/>
    <mergeCell ref="R109:R112"/>
    <mergeCell ref="Q105:Q108"/>
    <mergeCell ref="R127:R130"/>
    <mergeCell ref="Q98:Q99"/>
    <mergeCell ref="Q100:Q101"/>
    <mergeCell ref="N94:N95"/>
    <mergeCell ref="N100:N101"/>
    <mergeCell ref="O100:O101"/>
    <mergeCell ref="M100:M101"/>
    <mergeCell ref="J98:J99"/>
    <mergeCell ref="J105:J108"/>
    <mergeCell ref="M119:M122"/>
    <mergeCell ref="A144:A147"/>
    <mergeCell ref="B144:B147"/>
    <mergeCell ref="C144:C147"/>
    <mergeCell ref="K144:K147"/>
    <mergeCell ref="A127:A130"/>
    <mergeCell ref="A142:A143"/>
    <mergeCell ref="B142:B143"/>
    <mergeCell ref="J96:J97"/>
    <mergeCell ref="K140:K141"/>
    <mergeCell ref="L137:L139"/>
    <mergeCell ref="K109:K112"/>
    <mergeCell ref="L109:L112"/>
    <mergeCell ref="N117:N118"/>
    <mergeCell ref="A140:A141"/>
    <mergeCell ref="A137:A139"/>
    <mergeCell ref="B137:B139"/>
    <mergeCell ref="C135:C136"/>
    <mergeCell ref="K94:K95"/>
    <mergeCell ref="L94:L95"/>
    <mergeCell ref="M94:M95"/>
    <mergeCell ref="J117:J118"/>
    <mergeCell ref="L113:L116"/>
    <mergeCell ref="C102:C103"/>
    <mergeCell ref="L100:L101"/>
    <mergeCell ref="K98:K99"/>
    <mergeCell ref="L98:L99"/>
    <mergeCell ref="K117:K118"/>
    <mergeCell ref="K113:K116"/>
    <mergeCell ref="L105:L108"/>
    <mergeCell ref="K105:K108"/>
    <mergeCell ref="O158:O161"/>
    <mergeCell ref="C158:C161"/>
    <mergeCell ref="L152:L153"/>
    <mergeCell ref="K158:K161"/>
    <mergeCell ref="L156:L157"/>
    <mergeCell ref="M158:M161"/>
    <mergeCell ref="B152:B153"/>
    <mergeCell ref="C152:C153"/>
    <mergeCell ref="K152:K153"/>
    <mergeCell ref="B154:B155"/>
    <mergeCell ref="B156:B157"/>
    <mergeCell ref="L154:L155"/>
    <mergeCell ref="A135:A136"/>
    <mergeCell ref="K100:K101"/>
    <mergeCell ref="J102:J103"/>
    <mergeCell ref="B140:B141"/>
    <mergeCell ref="C140:C141"/>
    <mergeCell ref="B102:B103"/>
    <mergeCell ref="B123:B126"/>
    <mergeCell ref="C123:C126"/>
    <mergeCell ref="C109:C112"/>
    <mergeCell ref="B113:B116"/>
    <mergeCell ref="C113:C116"/>
    <mergeCell ref="J137:J139"/>
    <mergeCell ref="B105:B108"/>
    <mergeCell ref="C105:C108"/>
    <mergeCell ref="B127:B130"/>
    <mergeCell ref="B109:B112"/>
    <mergeCell ref="K131:K134"/>
    <mergeCell ref="K102:K103"/>
    <mergeCell ref="C137:C139"/>
    <mergeCell ref="J127:J130"/>
    <mergeCell ref="C149:C151"/>
    <mergeCell ref="A152:A153"/>
    <mergeCell ref="C154:C155"/>
    <mergeCell ref="K156:K157"/>
    <mergeCell ref="C162:C163"/>
    <mergeCell ref="K162:K163"/>
    <mergeCell ref="K164:K165"/>
    <mergeCell ref="A162:A163"/>
    <mergeCell ref="A1:J1"/>
    <mergeCell ref="A83:A84"/>
    <mergeCell ref="B83:B84"/>
    <mergeCell ref="C83:C84"/>
    <mergeCell ref="K83:K84"/>
    <mergeCell ref="A21:A24"/>
    <mergeCell ref="B21:B24"/>
    <mergeCell ref="A149:A151"/>
    <mergeCell ref="B149:B151"/>
    <mergeCell ref="K154:K155"/>
    <mergeCell ref="C156:C157"/>
    <mergeCell ref="A154:A155"/>
    <mergeCell ref="A156:A157"/>
    <mergeCell ref="C142:C143"/>
    <mergeCell ref="C127:C130"/>
    <mergeCell ref="C85:C86"/>
    <mergeCell ref="C94:C95"/>
    <mergeCell ref="J94:J95"/>
    <mergeCell ref="K93:O93"/>
    <mergeCell ref="B186:D186"/>
    <mergeCell ref="R119:R122"/>
    <mergeCell ref="R149:R151"/>
    <mergeCell ref="A158:A161"/>
    <mergeCell ref="L169:L170"/>
    <mergeCell ref="M169:M170"/>
    <mergeCell ref="P169:P170"/>
    <mergeCell ref="Q169:Q170"/>
    <mergeCell ref="R169:R170"/>
    <mergeCell ref="A169:A170"/>
    <mergeCell ref="B169:B170"/>
    <mergeCell ref="C169:C170"/>
    <mergeCell ref="K169:K170"/>
    <mergeCell ref="B162:B163"/>
    <mergeCell ref="A119:A122"/>
    <mergeCell ref="B119:B122"/>
    <mergeCell ref="C119:C122"/>
    <mergeCell ref="A181:D181"/>
    <mergeCell ref="A182:D182"/>
    <mergeCell ref="N164:N165"/>
    <mergeCell ref="O164:O165"/>
    <mergeCell ref="N169:N170"/>
    <mergeCell ref="O169:O170"/>
    <mergeCell ref="A172:D172"/>
    <mergeCell ref="Q78:Q79"/>
    <mergeCell ref="Q80:Q81"/>
    <mergeCell ref="R80:R81"/>
    <mergeCell ref="Q62:Q63"/>
    <mergeCell ref="Q76:Q77"/>
    <mergeCell ref="R76:R77"/>
    <mergeCell ref="N65:N66"/>
    <mergeCell ref="O65:O66"/>
    <mergeCell ref="R33:R36"/>
    <mergeCell ref="P49:P50"/>
    <mergeCell ref="P45:P48"/>
    <mergeCell ref="P51:P52"/>
    <mergeCell ref="P70:P74"/>
    <mergeCell ref="Q70:Q74"/>
    <mergeCell ref="P65:P66"/>
    <mergeCell ref="Q65:Q66"/>
    <mergeCell ref="R65:R66"/>
    <mergeCell ref="R67:R69"/>
    <mergeCell ref="P67:P69"/>
    <mergeCell ref="Q67:Q69"/>
    <mergeCell ref="Q49:Q50"/>
    <mergeCell ref="R70:R74"/>
    <mergeCell ref="P76:P77"/>
    <mergeCell ref="P62:P63"/>
    <mergeCell ref="S21:S24"/>
    <mergeCell ref="T45:T48"/>
    <mergeCell ref="T41:T44"/>
    <mergeCell ref="M33:M36"/>
    <mergeCell ref="Q51:Q52"/>
    <mergeCell ref="M49:M50"/>
    <mergeCell ref="M45:M48"/>
    <mergeCell ref="S51:T69"/>
    <mergeCell ref="N67:N69"/>
    <mergeCell ref="O67:O69"/>
    <mergeCell ref="N49:N50"/>
    <mergeCell ref="O49:O50"/>
    <mergeCell ref="N51:N52"/>
    <mergeCell ref="O51:O52"/>
    <mergeCell ref="N62:N63"/>
    <mergeCell ref="O62:O63"/>
    <mergeCell ref="S94:T95"/>
    <mergeCell ref="S85:T86"/>
    <mergeCell ref="S93:T93"/>
    <mergeCell ref="T33:T36"/>
    <mergeCell ref="T25:T28"/>
    <mergeCell ref="S29:S32"/>
    <mergeCell ref="S33:S36"/>
    <mergeCell ref="R49:R50"/>
    <mergeCell ref="R91:R92"/>
    <mergeCell ref="R94:R95"/>
    <mergeCell ref="R83:R84"/>
    <mergeCell ref="R89:R90"/>
    <mergeCell ref="R85:R86"/>
    <mergeCell ref="R45:R48"/>
    <mergeCell ref="R62:R63"/>
    <mergeCell ref="R78:R79"/>
    <mergeCell ref="S70:T74"/>
    <mergeCell ref="R51:R52"/>
    <mergeCell ref="A173:D173"/>
    <mergeCell ref="A174:D174"/>
    <mergeCell ref="A175:D175"/>
    <mergeCell ref="A176:D176"/>
    <mergeCell ref="A177:D177"/>
    <mergeCell ref="A178:D178"/>
    <mergeCell ref="A179:D179"/>
    <mergeCell ref="A180:D180"/>
    <mergeCell ref="M164:M165"/>
    <mergeCell ref="C164:C165"/>
    <mergeCell ref="A171:D171"/>
    <mergeCell ref="J169:J170"/>
    <mergeCell ref="K168:O168"/>
    <mergeCell ref="L164:L165"/>
    <mergeCell ref="J158:J165"/>
    <mergeCell ref="A164:A165"/>
    <mergeCell ref="B164:B165"/>
    <mergeCell ref="B158:B161"/>
    <mergeCell ref="N162:N163"/>
    <mergeCell ref="O162:O163"/>
    <mergeCell ref="L158:L161"/>
    <mergeCell ref="L162:L163"/>
    <mergeCell ref="M162:M163"/>
    <mergeCell ref="N158:N161"/>
    <mergeCell ref="X14:X15"/>
    <mergeCell ref="K16:X16"/>
    <mergeCell ref="X19:X20"/>
    <mergeCell ref="X37:X40"/>
    <mergeCell ref="X49:X50"/>
    <mergeCell ref="X51:X52"/>
    <mergeCell ref="X62:X63"/>
    <mergeCell ref="X65:X66"/>
    <mergeCell ref="X67:X69"/>
    <mergeCell ref="M65:M66"/>
    <mergeCell ref="T29:T32"/>
    <mergeCell ref="S49:T50"/>
    <mergeCell ref="T21:T24"/>
    <mergeCell ref="Q45:Q48"/>
    <mergeCell ref="K14:K15"/>
    <mergeCell ref="L14:L15"/>
    <mergeCell ref="M14:M15"/>
    <mergeCell ref="M37:M40"/>
    <mergeCell ref="M17:M20"/>
    <mergeCell ref="M41:M44"/>
    <mergeCell ref="K41:K44"/>
    <mergeCell ref="L41:L44"/>
    <mergeCell ref="R17:R20"/>
    <mergeCell ref="P33:P36"/>
    <mergeCell ref="X158:X161"/>
    <mergeCell ref="X162:X163"/>
    <mergeCell ref="X164:X165"/>
    <mergeCell ref="X169:X170"/>
    <mergeCell ref="O171:X171"/>
    <mergeCell ref="X70:X74"/>
    <mergeCell ref="X76:X77"/>
    <mergeCell ref="X78:X79"/>
    <mergeCell ref="X80:X81"/>
    <mergeCell ref="X85:X86"/>
    <mergeCell ref="X89:X90"/>
    <mergeCell ref="X91:X92"/>
    <mergeCell ref="X100:X101"/>
    <mergeCell ref="X102:X103"/>
    <mergeCell ref="S105:T108"/>
    <mergeCell ref="S117:T118"/>
    <mergeCell ref="S96:T101"/>
    <mergeCell ref="S89:T90"/>
    <mergeCell ref="S91:T92"/>
    <mergeCell ref="S82:T84"/>
    <mergeCell ref="K82:O82"/>
    <mergeCell ref="X127:X130"/>
    <mergeCell ref="S75:T81"/>
    <mergeCell ref="O83:O84"/>
  </mergeCells>
  <phoneticPr fontId="17" type="noConversion"/>
  <conditionalFormatting sqref="E14:H14">
    <cfRule type="dataBar" priority="1">
      <dataBar>
        <cfvo type="min"/>
        <cfvo type="max"/>
        <color rgb="FF638EC6"/>
      </dataBar>
      <extLst>
        <ext xmlns:x14="http://schemas.microsoft.com/office/spreadsheetml/2009/9/main" uri="{B025F937-C7B1-47D3-B67F-A62EFF666E3E}">
          <x14:id>{E20D3C52-B758-48B7-BCC5-058FE8B3105C}</x14:id>
        </ext>
      </extLst>
    </cfRule>
  </conditionalFormatting>
  <conditionalFormatting sqref="I14:K14 I15">
    <cfRule type="dataBar" priority="33">
      <dataBar>
        <cfvo type="min"/>
        <cfvo type="max"/>
        <color rgb="FF638EC6"/>
      </dataBar>
      <extLst>
        <ext xmlns:x14="http://schemas.microsoft.com/office/spreadsheetml/2009/9/main" uri="{B025F937-C7B1-47D3-B67F-A62EFF666E3E}">
          <x14:id>{5E72D44D-575F-4455-A977-4C6A112ECFEF}</x14:id>
        </ext>
      </extLst>
    </cfRule>
  </conditionalFormatting>
  <pageMargins left="0.7" right="0.7" top="0.75" bottom="0.75" header="0.3" footer="0.3"/>
  <pageSetup paperSize="8" scale="61" fitToHeight="0" orientation="landscape" r:id="rId1"/>
  <extLst>
    <ext xmlns:x14="http://schemas.microsoft.com/office/spreadsheetml/2009/9/main" uri="{78C0D931-6437-407d-A8EE-F0AAD7539E65}">
      <x14:conditionalFormattings>
        <x14:conditionalFormatting xmlns:xm="http://schemas.microsoft.com/office/excel/2006/main">
          <x14:cfRule type="dataBar" id="{E20D3C52-B758-48B7-BCC5-058FE8B3105C}">
            <x14:dataBar minLength="0" maxLength="100" border="1" negativeBarBorderColorSameAsPositive="0">
              <x14:cfvo type="autoMin"/>
              <x14:cfvo type="autoMax"/>
              <x14:borderColor rgb="FF638EC6"/>
              <x14:negativeFillColor rgb="FFFF0000"/>
              <x14:negativeBorderColor rgb="FFFF0000"/>
              <x14:axisColor rgb="FF000000"/>
            </x14:dataBar>
          </x14:cfRule>
          <xm:sqref>E14:H14</xm:sqref>
        </x14:conditionalFormatting>
        <x14:conditionalFormatting xmlns:xm="http://schemas.microsoft.com/office/excel/2006/main">
          <x14:cfRule type="dataBar" id="{5E72D44D-575F-4455-A977-4C6A112ECFEF}">
            <x14:dataBar minLength="0" maxLength="100" border="1" negativeBarBorderColorSameAsPositive="0">
              <x14:cfvo type="autoMin"/>
              <x14:cfvo type="autoMax"/>
              <x14:borderColor rgb="FF638EC6"/>
              <x14:negativeFillColor rgb="FFFF0000"/>
              <x14:negativeBorderColor rgb="FFFF0000"/>
              <x14:axisColor rgb="FF000000"/>
            </x14:dataBar>
          </x14:cfRule>
          <xm:sqref>I14:K14 I15</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5829-7614-4D50-80EA-7A43FFF8033C}">
  <sheetPr codeName="Lapas18"/>
  <dimension ref="A1:CC1226"/>
  <sheetViews>
    <sheetView topLeftCell="B32" zoomScaleNormal="100" workbookViewId="0">
      <selection activeCell="M29" sqref="M29"/>
    </sheetView>
  </sheetViews>
  <sheetFormatPr defaultColWidth="9.15234375" defaultRowHeight="42" customHeight="1"/>
  <cols>
    <col min="1" max="1" width="17" style="495" customWidth="1"/>
    <col min="2" max="2" width="28.3828125" style="368" customWidth="1"/>
    <col min="3" max="3" width="4.3046875" style="368" customWidth="1"/>
    <col min="4" max="4" width="8" style="368" customWidth="1"/>
    <col min="5" max="6" width="14.3046875" style="370" customWidth="1"/>
    <col min="7" max="8" width="12.69140625" style="370" customWidth="1"/>
    <col min="9" max="9" width="16.3046875" style="368" hidden="1" customWidth="1"/>
    <col min="10" max="10" width="12.3828125" style="368" customWidth="1"/>
    <col min="11" max="11" width="78.69140625" style="1539" customWidth="1"/>
    <col min="12" max="12" width="12.3046875" style="368" customWidth="1"/>
    <col min="13" max="13" width="29.3828125" style="368" customWidth="1"/>
    <col min="14" max="14" width="22.84375" style="368" customWidth="1"/>
    <col min="15" max="15" width="22" style="368" customWidth="1"/>
    <col min="16" max="18" width="6.3046875" style="461" hidden="1" customWidth="1"/>
    <col min="19" max="19" width="31.3046875" style="368" hidden="1" customWidth="1"/>
    <col min="20" max="20" width="35.3046875" style="368" hidden="1" customWidth="1"/>
    <col min="21" max="21" width="18.3046875" style="368" customWidth="1"/>
    <col min="22" max="23" width="8.84375" customWidth="1"/>
    <col min="24" max="16384" width="9.15234375" style="368"/>
  </cols>
  <sheetData>
    <row r="1" spans="1:23" ht="16.2" customHeight="1">
      <c r="A1" s="1901" t="s">
        <v>2194</v>
      </c>
      <c r="B1" s="1901"/>
      <c r="C1" s="1901"/>
      <c r="D1" s="1901"/>
      <c r="E1" s="1901"/>
      <c r="F1" s="1901"/>
      <c r="G1" s="1901"/>
      <c r="H1" s="1901"/>
      <c r="I1" s="1901"/>
      <c r="J1" s="449"/>
      <c r="K1" s="1489"/>
      <c r="L1" s="374"/>
      <c r="M1" s="374"/>
      <c r="N1" s="374"/>
      <c r="O1" s="374"/>
      <c r="P1" s="1901"/>
      <c r="Q1" s="1901"/>
      <c r="R1" s="1901"/>
      <c r="S1" s="1901"/>
      <c r="V1" s="368"/>
      <c r="W1" s="368"/>
    </row>
    <row r="2" spans="1:23" ht="25.2" customHeight="1">
      <c r="A2" s="1955" t="s">
        <v>2699</v>
      </c>
      <c r="B2" s="1953"/>
      <c r="C2" s="1953"/>
      <c r="D2" s="1953"/>
      <c r="E2" s="1953"/>
      <c r="F2" s="1953"/>
      <c r="G2" s="1953"/>
      <c r="H2" s="1953"/>
      <c r="I2" s="1953"/>
      <c r="J2" s="1953"/>
      <c r="K2" s="1953"/>
      <c r="L2" s="1953"/>
      <c r="M2" s="1953"/>
      <c r="N2" s="1953"/>
      <c r="O2" s="1953"/>
      <c r="P2" s="1953"/>
      <c r="Q2" s="1953"/>
      <c r="R2" s="1953"/>
      <c r="S2" s="1953"/>
      <c r="V2" s="368"/>
      <c r="W2" s="368"/>
    </row>
    <row r="3" spans="1:23" ht="10.95" customHeight="1">
      <c r="A3" s="602"/>
      <c r="B3" s="603"/>
      <c r="C3" s="603"/>
      <c r="D3" s="603"/>
      <c r="E3" s="603"/>
      <c r="F3" s="603"/>
      <c r="G3" s="603"/>
      <c r="H3" s="603"/>
      <c r="I3" s="603"/>
      <c r="J3" s="603"/>
      <c r="K3" s="1489"/>
      <c r="L3" s="603"/>
      <c r="M3" s="603"/>
      <c r="N3" s="603"/>
      <c r="O3" s="603"/>
      <c r="P3" s="462"/>
      <c r="Q3" s="462"/>
      <c r="R3" s="462"/>
      <c r="S3" s="603"/>
      <c r="V3" s="368"/>
      <c r="W3" s="368"/>
    </row>
    <row r="4" spans="1:23" ht="12.65" customHeight="1">
      <c r="A4" s="603" t="str">
        <f>A23</f>
        <v>10.01.01 (T)</v>
      </c>
      <c r="B4" s="374" t="str">
        <f>B23</f>
        <v xml:space="preserve">Gerinti keleivių vežimo sąlygas bei skatinti darnesnį ir patogesnį judėjimą </v>
      </c>
      <c r="C4" s="374"/>
      <c r="D4" s="374"/>
      <c r="E4" s="374"/>
      <c r="F4" s="374"/>
      <c r="G4" s="374"/>
      <c r="H4" s="374"/>
      <c r="I4" s="374"/>
      <c r="J4" s="374"/>
      <c r="K4" s="1867"/>
      <c r="L4" s="1867"/>
      <c r="M4" s="1867"/>
      <c r="N4" s="1867"/>
      <c r="O4" s="1867"/>
      <c r="P4" s="1867"/>
      <c r="Q4" s="1867"/>
      <c r="R4" s="1867"/>
      <c r="S4" s="1867"/>
      <c r="V4" s="368"/>
      <c r="W4" s="368"/>
    </row>
    <row r="5" spans="1:23" ht="11.5" customHeight="1">
      <c r="A5" s="603" t="str">
        <f>A34</f>
        <v>10.01.02.(T)</v>
      </c>
      <c r="B5" s="1953" t="str">
        <f>B34</f>
        <v>Skatinti bemotorio transporto pasirinkimą ir pėsčiųjų judumą</v>
      </c>
      <c r="C5" s="1953"/>
      <c r="D5" s="1953"/>
      <c r="E5" s="1953"/>
      <c r="F5" s="1953"/>
      <c r="G5" s="1953"/>
      <c r="H5" s="1953"/>
      <c r="I5" s="1953"/>
      <c r="J5" s="1953"/>
      <c r="K5" s="1489"/>
      <c r="L5" s="374"/>
      <c r="M5" s="374"/>
      <c r="N5" s="374"/>
      <c r="O5" s="374"/>
      <c r="P5" s="462"/>
      <c r="Q5" s="462"/>
      <c r="R5" s="462"/>
      <c r="S5" s="374"/>
      <c r="V5" s="368"/>
      <c r="W5" s="368"/>
    </row>
    <row r="6" spans="1:23" ht="13.2" customHeight="1">
      <c r="A6" s="603" t="str">
        <f>A63</f>
        <v>10.02.03.(T)</v>
      </c>
      <c r="B6" s="1953" t="str">
        <f>B63</f>
        <v>Atnaujinti (rekonstruoti) Visagino viešuosius, ūkinius pastatus</v>
      </c>
      <c r="C6" s="1953"/>
      <c r="D6" s="1953"/>
      <c r="E6" s="1953"/>
      <c r="F6" s="1953"/>
      <c r="G6" s="1953"/>
      <c r="H6" s="1953"/>
      <c r="I6" s="1953"/>
      <c r="J6" s="1953"/>
      <c r="K6" s="1489"/>
      <c r="L6" s="374"/>
      <c r="M6" s="374"/>
      <c r="N6" s="374"/>
      <c r="O6" s="374"/>
      <c r="P6" s="462"/>
      <c r="Q6" s="462"/>
      <c r="R6" s="462"/>
      <c r="S6" s="374"/>
      <c r="V6" s="368"/>
      <c r="W6" s="368"/>
    </row>
    <row r="7" spans="1:23" ht="11.5" customHeight="1">
      <c r="A7" s="603" t="str">
        <f>A81</f>
        <v>10.02.04.(T)</v>
      </c>
      <c r="B7" s="374" t="str">
        <f>B81</f>
        <v>Renovuoti ir įrengti automobilių stovėjimo, dviračių ir pėsčiųjų takus, sporto ir laisvalaikio aikšteles</v>
      </c>
      <c r="C7" s="374"/>
      <c r="D7" s="374"/>
      <c r="E7" s="374"/>
      <c r="F7" s="374"/>
      <c r="G7" s="374"/>
      <c r="H7" s="374"/>
      <c r="I7" s="374"/>
      <c r="J7" s="374"/>
      <c r="K7" s="1867"/>
      <c r="L7" s="1867"/>
      <c r="M7" s="1867"/>
      <c r="N7" s="448"/>
      <c r="O7" s="448"/>
      <c r="P7" s="462"/>
      <c r="Q7" s="462"/>
      <c r="R7" s="462"/>
      <c r="S7" s="374"/>
      <c r="V7" s="368"/>
      <c r="W7" s="368"/>
    </row>
    <row r="8" spans="1:23" ht="12" customHeight="1">
      <c r="A8" s="603" t="str">
        <f>A111</f>
        <v>10.02.05.(T)</v>
      </c>
      <c r="B8" s="374" t="str">
        <f>B111</f>
        <v>Remontuoti ir prižiūrėti savivaldybės turtą</v>
      </c>
      <c r="C8" s="374"/>
      <c r="D8" s="374"/>
      <c r="E8" s="374"/>
      <c r="F8" s="374"/>
      <c r="G8" s="374"/>
      <c r="H8" s="374"/>
      <c r="I8" s="374"/>
      <c r="J8" s="374"/>
      <c r="K8" s="1489"/>
      <c r="L8" s="374"/>
      <c r="M8" s="374"/>
      <c r="N8" s="374"/>
      <c r="O8" s="374"/>
      <c r="P8" s="462"/>
      <c r="Q8" s="462"/>
      <c r="R8" s="462"/>
      <c r="S8" s="374"/>
      <c r="V8" s="368"/>
      <c r="W8" s="368"/>
    </row>
    <row r="9" spans="1:23" ht="10.199999999999999" customHeight="1">
      <c r="A9" s="603" t="str">
        <f>A138</f>
        <v>10.02.06. (T)</v>
      </c>
      <c r="B9" s="374" t="str">
        <f>B138</f>
        <v>Vykdyti Visagino savivaldybės daugiabučių namų atnaujinimo (modernizavimo) programą</v>
      </c>
      <c r="C9" s="374"/>
      <c r="D9" s="374"/>
      <c r="E9" s="374"/>
      <c r="F9" s="374"/>
      <c r="G9" s="374"/>
      <c r="H9" s="374"/>
      <c r="I9" s="374"/>
      <c r="J9" s="374"/>
      <c r="K9" s="1489"/>
      <c r="L9" s="374"/>
      <c r="M9" s="374"/>
      <c r="N9" s="374"/>
      <c r="O9" s="374"/>
      <c r="P9" s="462"/>
      <c r="Q9" s="462"/>
      <c r="R9" s="462"/>
      <c r="S9" s="374"/>
      <c r="V9" s="368"/>
      <c r="W9" s="368"/>
    </row>
    <row r="10" spans="1:23" ht="13.2" customHeight="1">
      <c r="A10" s="603" t="str">
        <f>A141</f>
        <v>10.02.07. (T)</v>
      </c>
      <c r="B10" s="1953" t="str">
        <f>B141</f>
        <v>Įgyvendinti savivaldybės infrastruktūros plėtros įstatymo nuostatas</v>
      </c>
      <c r="C10" s="1953"/>
      <c r="D10" s="1953"/>
      <c r="E10" s="1953"/>
      <c r="F10" s="1953"/>
      <c r="G10" s="1953"/>
      <c r="H10" s="1953"/>
      <c r="I10" s="1953"/>
      <c r="J10" s="1953"/>
      <c r="K10" s="1489"/>
      <c r="L10" s="374"/>
      <c r="M10" s="374"/>
      <c r="N10" s="374"/>
      <c r="O10" s="374"/>
      <c r="P10" s="462"/>
      <c r="Q10" s="462"/>
      <c r="R10" s="462"/>
      <c r="S10" s="374"/>
      <c r="V10" s="368"/>
      <c r="W10" s="368"/>
    </row>
    <row r="11" spans="1:23" ht="12.65" customHeight="1">
      <c r="A11" s="603" t="str">
        <f>A144</f>
        <v>10.03.01. (T)</v>
      </c>
      <c r="B11" s="1953" t="str">
        <f>B144</f>
        <v>Tvarkyti gyvenamąją aplinką, administruoti gatvių apšvietimo paslaugas</v>
      </c>
      <c r="C11" s="1953"/>
      <c r="D11" s="1953"/>
      <c r="E11" s="1953"/>
      <c r="F11" s="1953"/>
      <c r="G11" s="1953"/>
      <c r="H11" s="1953"/>
      <c r="I11" s="1953"/>
      <c r="J11" s="1953"/>
      <c r="K11" s="1489"/>
      <c r="L11" s="374"/>
      <c r="M11" s="374"/>
      <c r="N11" s="374"/>
      <c r="O11" s="374"/>
      <c r="P11" s="462"/>
      <c r="Q11" s="462"/>
      <c r="R11" s="462"/>
      <c r="S11" s="374"/>
      <c r="V11" s="368"/>
      <c r="W11" s="368"/>
    </row>
    <row r="12" spans="1:23" ht="12" customHeight="1">
      <c r="A12" s="603" t="str">
        <f>A165</f>
        <v>10.03.02. (T)</v>
      </c>
      <c r="B12" s="1953" t="str">
        <f>B165</f>
        <v>Vykdyti kapinių priežiūros darbus</v>
      </c>
      <c r="C12" s="1953"/>
      <c r="D12" s="1953"/>
      <c r="E12" s="1953"/>
      <c r="F12" s="1953"/>
      <c r="G12" s="1953"/>
      <c r="H12" s="1953"/>
      <c r="I12" s="1953"/>
      <c r="J12" s="1953"/>
      <c r="K12" s="1489"/>
      <c r="L12" s="374"/>
      <c r="M12" s="374"/>
      <c r="N12" s="374"/>
      <c r="O12" s="374"/>
      <c r="P12" s="462"/>
      <c r="Q12" s="462"/>
      <c r="R12" s="462"/>
      <c r="S12" s="374"/>
      <c r="V12" s="368"/>
      <c r="W12" s="368"/>
    </row>
    <row r="13" spans="1:23" ht="10.95" customHeight="1">
      <c r="A13" s="603" t="str">
        <f>A171</f>
        <v>10.03.03. (T)</v>
      </c>
      <c r="B13" s="1953" t="str">
        <f>B171</f>
        <v>Tvarkyti savivaldybės kaimiškųjų vietovių infrastruktūrą</v>
      </c>
      <c r="C13" s="1953"/>
      <c r="D13" s="1953"/>
      <c r="E13" s="1953"/>
      <c r="F13" s="1953"/>
      <c r="G13" s="1953"/>
      <c r="H13" s="1953"/>
      <c r="I13" s="1953"/>
      <c r="J13" s="1953"/>
      <c r="K13" s="1489"/>
      <c r="L13" s="374"/>
      <c r="M13" s="374"/>
      <c r="N13" s="374"/>
      <c r="O13" s="374"/>
      <c r="P13" s="462"/>
      <c r="Q13" s="462"/>
      <c r="R13" s="462"/>
      <c r="S13" s="374"/>
      <c r="V13" s="368"/>
      <c r="W13" s="368"/>
    </row>
    <row r="14" spans="1:23" ht="10.199999999999999" customHeight="1">
      <c r="A14" s="603" t="str">
        <f>A174</f>
        <v>10.03.04.(T)</v>
      </c>
      <c r="B14" s="374" t="str">
        <f>B174</f>
        <v>Tvarkyti (likviduoti) turtą, 
Visagino savivaldybės tarybos  pripažintą netinkamu naudoti dėl fizinio ir funkcinio (technologinio) nusidėvėjimo</v>
      </c>
      <c r="C14" s="374"/>
      <c r="D14" s="374"/>
      <c r="E14" s="374"/>
      <c r="F14" s="374"/>
      <c r="G14" s="374"/>
      <c r="H14" s="374"/>
      <c r="I14" s="374"/>
      <c r="J14" s="374"/>
      <c r="K14" s="1489"/>
      <c r="L14" s="374"/>
      <c r="M14" s="374"/>
      <c r="N14" s="374"/>
      <c r="O14" s="374"/>
      <c r="P14" s="462"/>
      <c r="Q14" s="462"/>
      <c r="R14" s="462"/>
      <c r="S14" s="374"/>
      <c r="V14" s="368"/>
      <c r="W14" s="368"/>
    </row>
    <row r="15" spans="1:23" ht="12.65" customHeight="1">
      <c r="A15" s="603" t="str">
        <f>A177</f>
        <v>10.03.05. (T)</v>
      </c>
      <c r="B15" s="374" t="str">
        <f>B177</f>
        <v xml:space="preserve"> Plėsti, prižiūrėti ir modernizuoti teritorijas, įrengiant reikalingą infrastrukūrą</v>
      </c>
      <c r="C15" s="374"/>
      <c r="D15" s="374"/>
      <c r="E15" s="374"/>
      <c r="F15" s="374"/>
      <c r="G15" s="374"/>
      <c r="H15" s="374"/>
      <c r="I15" s="374"/>
      <c r="J15" s="374"/>
      <c r="K15" s="1489"/>
      <c r="L15" s="374"/>
      <c r="M15" s="374"/>
      <c r="N15" s="374"/>
      <c r="O15" s="374"/>
      <c r="P15" s="462"/>
      <c r="Q15" s="462"/>
      <c r="R15" s="462"/>
      <c r="S15" s="374"/>
      <c r="V15" s="368"/>
      <c r="W15" s="368"/>
    </row>
    <row r="16" spans="1:23" ht="12.65" customHeight="1">
      <c r="A16" s="603"/>
      <c r="B16" s="374"/>
      <c r="C16" s="374"/>
      <c r="D16" s="374"/>
      <c r="E16" s="374"/>
      <c r="F16" s="374"/>
      <c r="G16" s="374"/>
      <c r="H16" s="374"/>
      <c r="I16" s="374"/>
      <c r="J16" s="374"/>
      <c r="K16" s="1489"/>
      <c r="L16" s="374"/>
      <c r="M16" s="374"/>
      <c r="N16" s="374"/>
      <c r="O16" s="374"/>
      <c r="P16" s="462"/>
      <c r="Q16" s="462"/>
      <c r="R16" s="462"/>
      <c r="S16" s="374"/>
      <c r="V16" s="368"/>
      <c r="W16" s="368"/>
    </row>
    <row r="17" spans="1:23" ht="18.649999999999999" customHeight="1">
      <c r="A17" s="1867" t="s">
        <v>3012</v>
      </c>
      <c r="B17" s="1867"/>
      <c r="C17" s="1867"/>
      <c r="D17" s="1867"/>
      <c r="E17" s="1867"/>
      <c r="F17" s="448"/>
      <c r="G17" s="448"/>
      <c r="H17" s="448"/>
      <c r="I17" s="373"/>
      <c r="J17" s="449"/>
      <c r="K17" s="1489"/>
      <c r="L17" s="374"/>
      <c r="M17" s="374"/>
      <c r="N17" s="374"/>
      <c r="O17" s="374"/>
      <c r="P17" s="452"/>
      <c r="Q17" s="452"/>
      <c r="R17" s="452"/>
      <c r="S17" s="373"/>
      <c r="V17" s="368"/>
      <c r="W17" s="368"/>
    </row>
    <row r="18" spans="1:23" ht="53.25" customHeight="1">
      <c r="A18" s="1867" t="s">
        <v>2749</v>
      </c>
      <c r="B18" s="1867"/>
      <c r="C18" s="1867"/>
      <c r="D18" s="1867"/>
      <c r="E18" s="1867"/>
      <c r="F18" s="1867"/>
      <c r="G18" s="1867"/>
      <c r="H18" s="1867"/>
      <c r="I18" s="1867"/>
      <c r="J18" s="1867"/>
      <c r="K18" s="1867"/>
      <c r="L18" s="1867"/>
      <c r="M18" s="1867"/>
      <c r="N18" s="1867"/>
      <c r="O18" s="1867"/>
      <c r="P18" s="1867"/>
      <c r="Q18" s="1867"/>
      <c r="R18" s="1867"/>
      <c r="S18" s="1867"/>
      <c r="V18" s="368"/>
      <c r="W18" s="368"/>
    </row>
    <row r="19" spans="1:23" ht="12" customHeight="1">
      <c r="A19" s="448"/>
      <c r="B19" s="448"/>
      <c r="C19" s="448"/>
      <c r="D19" s="448"/>
      <c r="E19" s="448"/>
      <c r="F19" s="448"/>
      <c r="G19" s="448"/>
      <c r="H19" s="448"/>
      <c r="I19" s="373"/>
      <c r="J19" s="449"/>
      <c r="K19" s="1489"/>
      <c r="L19" s="374"/>
      <c r="M19" s="374"/>
      <c r="N19" s="374"/>
      <c r="O19" s="374"/>
      <c r="P19" s="452"/>
      <c r="Q19" s="452"/>
      <c r="R19" s="452"/>
      <c r="S19" s="373"/>
      <c r="V19" s="368"/>
      <c r="W19" s="368"/>
    </row>
    <row r="20" spans="1:23" ht="13.95" customHeight="1">
      <c r="A20" s="1867" t="s">
        <v>3703</v>
      </c>
      <c r="B20" s="1867"/>
      <c r="C20" s="1867"/>
      <c r="D20" s="1867"/>
      <c r="E20" s="1867"/>
      <c r="F20" s="1867"/>
      <c r="G20" s="1867"/>
      <c r="H20" s="1867"/>
      <c r="I20" s="1867"/>
      <c r="J20" s="1867"/>
      <c r="K20" s="1867"/>
      <c r="L20" s="1867"/>
      <c r="M20" s="1867"/>
      <c r="N20" s="1867"/>
      <c r="O20" s="1867"/>
      <c r="P20" s="1867"/>
      <c r="Q20" s="1867"/>
      <c r="R20" s="1867"/>
      <c r="S20" s="1867"/>
      <c r="V20" s="368"/>
      <c r="W20" s="368"/>
    </row>
    <row r="21" spans="1:23" s="461" customFormat="1" ht="42" customHeight="1">
      <c r="A21" s="1784" t="s">
        <v>994</v>
      </c>
      <c r="B21" s="1681" t="s">
        <v>1933</v>
      </c>
      <c r="C21" s="2086" t="s">
        <v>1318</v>
      </c>
      <c r="D21" s="2079" t="s">
        <v>1319</v>
      </c>
      <c r="E21" s="1847" t="s">
        <v>2857</v>
      </c>
      <c r="F21" s="1784" t="s">
        <v>2874</v>
      </c>
      <c r="G21" s="1784" t="s">
        <v>2858</v>
      </c>
      <c r="H21" s="1784" t="s">
        <v>2859</v>
      </c>
      <c r="I21" s="1847" t="s">
        <v>1333</v>
      </c>
      <c r="J21" s="1847" t="s">
        <v>1969</v>
      </c>
      <c r="K21" s="2187" t="s">
        <v>2750</v>
      </c>
      <c r="L21" s="1905" t="s">
        <v>2861</v>
      </c>
      <c r="M21" s="1905" t="s">
        <v>2864</v>
      </c>
      <c r="N21" s="1680" t="s">
        <v>2865</v>
      </c>
      <c r="O21" s="1680"/>
      <c r="P21" s="1680" t="s">
        <v>995</v>
      </c>
      <c r="Q21" s="1680"/>
      <c r="R21" s="1680"/>
      <c r="S21" s="1680" t="s">
        <v>996</v>
      </c>
      <c r="U21" s="1905" t="s">
        <v>3733</v>
      </c>
    </row>
    <row r="22" spans="1:23" s="461" customFormat="1" ht="42" customHeight="1">
      <c r="A22" s="1785"/>
      <c r="B22" s="1682"/>
      <c r="C22" s="2087"/>
      <c r="D22" s="1947"/>
      <c r="E22" s="1847"/>
      <c r="F22" s="1785"/>
      <c r="G22" s="1785"/>
      <c r="H22" s="1785"/>
      <c r="I22" s="1784"/>
      <c r="J22" s="1847"/>
      <c r="K22" s="2081"/>
      <c r="L22" s="2060"/>
      <c r="M22" s="2060"/>
      <c r="N22" s="454" t="s">
        <v>2862</v>
      </c>
      <c r="O22" s="454" t="s">
        <v>2863</v>
      </c>
      <c r="P22" s="454">
        <v>2024</v>
      </c>
      <c r="Q22" s="454">
        <v>2025</v>
      </c>
      <c r="R22" s="454">
        <v>2026</v>
      </c>
      <c r="S22" s="1905"/>
      <c r="U22" s="2060"/>
    </row>
    <row r="23" spans="1:23" ht="44.25" customHeight="1">
      <c r="A23" s="501" t="s">
        <v>2146</v>
      </c>
      <c r="B23" s="496" t="s">
        <v>2500</v>
      </c>
      <c r="C23" s="501"/>
      <c r="D23" s="501"/>
      <c r="E23" s="502">
        <f>SUM(E25,E27,E29,E33)</f>
        <v>516.6</v>
      </c>
      <c r="F23" s="502">
        <f t="shared" ref="F23:G23" si="0">SUM(F25,F27,F29,F33)</f>
        <v>513.798</v>
      </c>
      <c r="G23" s="502">
        <f t="shared" si="0"/>
        <v>467.34099999999989</v>
      </c>
      <c r="H23" s="539">
        <f>G23/F23</f>
        <v>0.90958119727986464</v>
      </c>
      <c r="I23" s="502">
        <f>SUM(I25,I27,I29,I33)</f>
        <v>518.28</v>
      </c>
      <c r="J23" s="501" t="s">
        <v>2271</v>
      </c>
      <c r="K23" s="2000"/>
      <c r="L23" s="2000"/>
      <c r="M23" s="2000"/>
      <c r="N23" s="2000"/>
      <c r="O23" s="2000"/>
      <c r="P23" s="2000"/>
      <c r="Q23" s="2000"/>
      <c r="R23" s="2000"/>
      <c r="S23" s="2000"/>
      <c r="T23" s="2000"/>
      <c r="U23" s="2000"/>
      <c r="V23" s="368"/>
      <c r="W23" s="368"/>
    </row>
    <row r="24" spans="1:23" ht="84.65" customHeight="1">
      <c r="A24" s="1767" t="s">
        <v>2142</v>
      </c>
      <c r="B24" s="1769" t="s">
        <v>1498</v>
      </c>
      <c r="C24" s="1957">
        <v>188711925</v>
      </c>
      <c r="D24" s="659" t="s">
        <v>668</v>
      </c>
      <c r="E24" s="734">
        <v>184</v>
      </c>
      <c r="F24" s="734">
        <v>181.19800000000001</v>
      </c>
      <c r="G24" s="734">
        <v>139.77099999999999</v>
      </c>
      <c r="H24" s="803">
        <f>G24/F24</f>
        <v>0.77137164869369412</v>
      </c>
      <c r="I24" s="734">
        <v>190</v>
      </c>
      <c r="J24" s="1701" t="s">
        <v>2272</v>
      </c>
      <c r="K24" s="1975" t="s">
        <v>3827</v>
      </c>
      <c r="L24" s="1638" t="s">
        <v>3</v>
      </c>
      <c r="M24" s="1639" t="s">
        <v>945</v>
      </c>
      <c r="N24" s="1639" t="s">
        <v>3431</v>
      </c>
      <c r="O24" s="1639" t="s">
        <v>3431</v>
      </c>
      <c r="P24" s="1768" t="s">
        <v>1598</v>
      </c>
      <c r="Q24" s="1768" t="s">
        <v>1598</v>
      </c>
      <c r="R24" s="1768" t="s">
        <v>1598</v>
      </c>
      <c r="S24" s="1638" t="s">
        <v>2476</v>
      </c>
      <c r="T24" s="1200"/>
      <c r="U24" s="1992" t="s">
        <v>3548</v>
      </c>
      <c r="V24" s="368"/>
      <c r="W24" s="368"/>
    </row>
    <row r="25" spans="1:23" ht="65.25" customHeight="1">
      <c r="A25" s="1803"/>
      <c r="B25" s="1736"/>
      <c r="C25" s="1737"/>
      <c r="D25" s="705" t="s">
        <v>1321</v>
      </c>
      <c r="E25" s="706">
        <f>E24</f>
        <v>184</v>
      </c>
      <c r="F25" s="706">
        <f t="shared" ref="F25:H25" si="1">F24</f>
        <v>181.19800000000001</v>
      </c>
      <c r="G25" s="706">
        <f t="shared" si="1"/>
        <v>139.77099999999999</v>
      </c>
      <c r="H25" s="707">
        <f t="shared" si="1"/>
        <v>0.77137164869369412</v>
      </c>
      <c r="I25" s="706">
        <f t="shared" ref="I25" si="2">I24</f>
        <v>190</v>
      </c>
      <c r="J25" s="1882"/>
      <c r="K25" s="2199"/>
      <c r="L25" s="1639"/>
      <c r="M25" s="1646"/>
      <c r="N25" s="1646"/>
      <c r="O25" s="1646"/>
      <c r="P25" s="1768"/>
      <c r="Q25" s="1768"/>
      <c r="R25" s="1768"/>
      <c r="S25" s="1638"/>
      <c r="T25" s="1200"/>
      <c r="U25" s="1993"/>
      <c r="V25" s="368"/>
      <c r="W25" s="368"/>
    </row>
    <row r="26" spans="1:23" ht="32.5" hidden="1" customHeight="1">
      <c r="A26" s="1803" t="s">
        <v>2143</v>
      </c>
      <c r="B26" s="1889" t="s">
        <v>1499</v>
      </c>
      <c r="C26" s="1935">
        <v>188711925</v>
      </c>
      <c r="D26" s="724" t="s">
        <v>668</v>
      </c>
      <c r="E26" s="1401">
        <v>0</v>
      </c>
      <c r="F26" s="1401"/>
      <c r="G26" s="1401"/>
      <c r="H26" s="1401"/>
      <c r="I26" s="701">
        <v>5</v>
      </c>
      <c r="J26" s="1882"/>
      <c r="K26" s="1640" t="s">
        <v>2959</v>
      </c>
      <c r="L26" s="1637" t="s">
        <v>1731</v>
      </c>
      <c r="M26" s="1637"/>
      <c r="N26" s="1934"/>
      <c r="O26" s="1934"/>
      <c r="P26" s="1768"/>
      <c r="Q26" s="1768"/>
      <c r="R26" s="1768"/>
      <c r="S26" s="1638"/>
      <c r="T26" s="1200"/>
      <c r="U26" s="1189"/>
      <c r="V26" s="368"/>
      <c r="W26" s="368"/>
    </row>
    <row r="27" spans="1:23" ht="32.5" hidden="1" customHeight="1">
      <c r="A27" s="1765"/>
      <c r="B27" s="1890"/>
      <c r="C27" s="1936"/>
      <c r="D27" s="730" t="s">
        <v>1321</v>
      </c>
      <c r="E27" s="1402">
        <f>E26</f>
        <v>0</v>
      </c>
      <c r="F27" s="1402"/>
      <c r="G27" s="1402"/>
      <c r="H27" s="1402"/>
      <c r="I27" s="731">
        <f t="shared" ref="I27" si="3">I26</f>
        <v>5</v>
      </c>
      <c r="J27" s="1702"/>
      <c r="K27" s="1708"/>
      <c r="L27" s="1639"/>
      <c r="M27" s="1639"/>
      <c r="N27" s="1933"/>
      <c r="O27" s="1933"/>
      <c r="P27" s="1769"/>
      <c r="Q27" s="1769"/>
      <c r="R27" s="1769"/>
      <c r="S27" s="1639"/>
      <c r="T27" s="1200"/>
      <c r="U27" s="1189"/>
      <c r="V27" s="368"/>
      <c r="W27" s="368"/>
    </row>
    <row r="28" spans="1:23" ht="40.950000000000003" customHeight="1">
      <c r="A28" s="1816" t="s">
        <v>2144</v>
      </c>
      <c r="B28" s="1757" t="s">
        <v>1500</v>
      </c>
      <c r="C28" s="1969" t="s">
        <v>1325</v>
      </c>
      <c r="D28" s="657" t="s">
        <v>668</v>
      </c>
      <c r="E28" s="701">
        <f>SUM(E30:E31)</f>
        <v>127.56</v>
      </c>
      <c r="F28" s="701">
        <f t="shared" ref="F28:G28" si="4">SUM(F30:F31)</f>
        <v>186.57</v>
      </c>
      <c r="G28" s="701">
        <f t="shared" si="4"/>
        <v>185.27499999999998</v>
      </c>
      <c r="H28" s="702">
        <f>G28/F28</f>
        <v>0.99305890550463627</v>
      </c>
      <c r="I28" s="701">
        <f t="shared" ref="I28" si="5">SUM(I30,I31)</f>
        <v>74</v>
      </c>
      <c r="J28" s="1701" t="s">
        <v>2273</v>
      </c>
      <c r="K28" s="1640" t="s">
        <v>3594</v>
      </c>
      <c r="L28" s="1639" t="s">
        <v>447</v>
      </c>
      <c r="M28" s="527" t="s">
        <v>946</v>
      </c>
      <c r="N28" s="638" t="s">
        <v>1773</v>
      </c>
      <c r="O28" s="638" t="s">
        <v>613</v>
      </c>
      <c r="P28" s="1637" t="s">
        <v>1755</v>
      </c>
      <c r="Q28" s="1637" t="s">
        <v>1755</v>
      </c>
      <c r="R28" s="1637" t="s">
        <v>1755</v>
      </c>
      <c r="S28" s="1637" t="s">
        <v>2477</v>
      </c>
      <c r="T28" s="1200"/>
      <c r="U28" s="657" t="s">
        <v>3626</v>
      </c>
      <c r="V28" s="368"/>
      <c r="W28" s="368"/>
    </row>
    <row r="29" spans="1:23" ht="59.25" customHeight="1">
      <c r="A29" s="1816"/>
      <c r="B29" s="1757"/>
      <c r="C29" s="1969"/>
      <c r="D29" s="705" t="s">
        <v>1321</v>
      </c>
      <c r="E29" s="706">
        <f>E28</f>
        <v>127.56</v>
      </c>
      <c r="F29" s="706">
        <f t="shared" ref="F29:H29" si="6">F28</f>
        <v>186.57</v>
      </c>
      <c r="G29" s="707">
        <f t="shared" si="6"/>
        <v>185.27499999999998</v>
      </c>
      <c r="H29" s="707">
        <f t="shared" si="6"/>
        <v>0.99305890550463627</v>
      </c>
      <c r="I29" s="706">
        <f t="shared" ref="I29" si="7">I28</f>
        <v>74</v>
      </c>
      <c r="J29" s="1702"/>
      <c r="K29" s="1709"/>
      <c r="L29" s="1637"/>
      <c r="M29" s="525" t="s">
        <v>717</v>
      </c>
      <c r="N29" s="638" t="s">
        <v>2961</v>
      </c>
      <c r="O29" s="638" t="s">
        <v>3432</v>
      </c>
      <c r="P29" s="1638"/>
      <c r="Q29" s="1638"/>
      <c r="R29" s="1638"/>
      <c r="S29" s="1639"/>
      <c r="T29" s="1200"/>
      <c r="U29" s="1189" t="s">
        <v>3548</v>
      </c>
      <c r="V29" s="368"/>
      <c r="W29" s="368"/>
    </row>
    <row r="30" spans="1:23" ht="28.5" hidden="1" customHeight="1">
      <c r="A30" s="613"/>
      <c r="B30" s="921" t="s">
        <v>715</v>
      </c>
      <c r="C30" s="1169"/>
      <c r="D30" s="911" t="s">
        <v>668</v>
      </c>
      <c r="E30" s="537">
        <v>65.760000000000005</v>
      </c>
      <c r="F30" s="537">
        <v>65.760000000000005</v>
      </c>
      <c r="G30" s="537">
        <v>64.757999999999996</v>
      </c>
      <c r="H30" s="541"/>
      <c r="I30" s="537">
        <v>5</v>
      </c>
      <c r="J30" s="1007"/>
      <c r="K30" s="1507"/>
      <c r="L30" s="912"/>
      <c r="M30" s="616" t="s">
        <v>946</v>
      </c>
      <c r="N30" s="616"/>
      <c r="O30" s="616"/>
      <c r="P30" s="753"/>
      <c r="Q30" s="753"/>
      <c r="R30" s="753"/>
      <c r="S30" s="753"/>
      <c r="T30" s="1200"/>
      <c r="U30" s="1187"/>
      <c r="V30" s="368"/>
      <c r="W30" s="368"/>
    </row>
    <row r="31" spans="1:23" ht="27.75" hidden="1" customHeight="1">
      <c r="A31" s="613"/>
      <c r="B31" s="921" t="s">
        <v>1702</v>
      </c>
      <c r="C31" s="1169"/>
      <c r="D31" s="911" t="s">
        <v>668</v>
      </c>
      <c r="E31" s="537">
        <v>61.8</v>
      </c>
      <c r="F31" s="537">
        <v>120.81</v>
      </c>
      <c r="G31" s="537">
        <v>120.517</v>
      </c>
      <c r="H31" s="541"/>
      <c r="I31" s="537">
        <v>69</v>
      </c>
      <c r="J31" s="1007"/>
      <c r="K31" s="1508"/>
      <c r="L31" s="1125"/>
      <c r="M31" s="616" t="s">
        <v>717</v>
      </c>
      <c r="N31" s="616"/>
      <c r="O31" s="616"/>
      <c r="P31" s="753"/>
      <c r="Q31" s="753"/>
      <c r="R31" s="753"/>
      <c r="S31" s="753"/>
      <c r="T31" s="1200"/>
      <c r="U31" s="1187"/>
      <c r="V31" s="368"/>
      <c r="W31" s="368"/>
    </row>
    <row r="32" spans="1:23" ht="36.65" customHeight="1">
      <c r="A32" s="1816" t="s">
        <v>2145</v>
      </c>
      <c r="B32" s="1757" t="s">
        <v>1501</v>
      </c>
      <c r="C32" s="1969">
        <v>188701436</v>
      </c>
      <c r="D32" s="657" t="s">
        <v>668</v>
      </c>
      <c r="E32" s="701">
        <v>205.04</v>
      </c>
      <c r="F32" s="701">
        <v>146.03</v>
      </c>
      <c r="G32" s="701">
        <v>142.29499999999999</v>
      </c>
      <c r="H32" s="702">
        <f>G32/F32</f>
        <v>0.9744230637540231</v>
      </c>
      <c r="I32" s="701">
        <v>249.28</v>
      </c>
      <c r="J32" s="1698" t="s">
        <v>2478</v>
      </c>
      <c r="K32" s="1699" t="s">
        <v>3804</v>
      </c>
      <c r="L32" s="1646" t="s">
        <v>605</v>
      </c>
      <c r="M32" s="1646" t="s">
        <v>1753</v>
      </c>
      <c r="N32" s="1806" t="s">
        <v>1754</v>
      </c>
      <c r="O32" s="1806" t="s">
        <v>1754</v>
      </c>
      <c r="P32" s="2188" t="s">
        <v>1754</v>
      </c>
      <c r="Q32" s="2188" t="s">
        <v>1754</v>
      </c>
      <c r="R32" s="2188" t="s">
        <v>1754</v>
      </c>
      <c r="S32" s="2188" t="s">
        <v>2479</v>
      </c>
      <c r="T32" s="1200"/>
      <c r="U32" s="1991" t="s">
        <v>3548</v>
      </c>
      <c r="V32" s="368"/>
      <c r="W32" s="368"/>
    </row>
    <row r="33" spans="1:23" ht="37.950000000000003" customHeight="1">
      <c r="A33" s="1816"/>
      <c r="B33" s="1757"/>
      <c r="C33" s="1969"/>
      <c r="D33" s="705" t="s">
        <v>1321</v>
      </c>
      <c r="E33" s="706">
        <f>E32</f>
        <v>205.04</v>
      </c>
      <c r="F33" s="706">
        <f t="shared" ref="F33:H33" si="8">F32</f>
        <v>146.03</v>
      </c>
      <c r="G33" s="706">
        <f t="shared" si="8"/>
        <v>142.29499999999999</v>
      </c>
      <c r="H33" s="707">
        <f t="shared" si="8"/>
        <v>0.9744230637540231</v>
      </c>
      <c r="I33" s="706">
        <f t="shared" ref="I33" si="9">I32</f>
        <v>249.28</v>
      </c>
      <c r="J33" s="1698"/>
      <c r="K33" s="1700"/>
      <c r="L33" s="1646"/>
      <c r="M33" s="1646"/>
      <c r="N33" s="1808"/>
      <c r="O33" s="1808"/>
      <c r="P33" s="2188"/>
      <c r="Q33" s="2188"/>
      <c r="R33" s="2188"/>
      <c r="S33" s="2188"/>
      <c r="T33" s="1200"/>
      <c r="U33" s="1993"/>
      <c r="V33" s="368"/>
      <c r="W33" s="368"/>
    </row>
    <row r="34" spans="1:23" ht="63.65" customHeight="1">
      <c r="A34" s="501" t="s">
        <v>2193</v>
      </c>
      <c r="B34" s="496" t="s">
        <v>2382</v>
      </c>
      <c r="C34" s="501"/>
      <c r="D34" s="501"/>
      <c r="E34" s="501">
        <f>SUM(E38,E44,E48,E50,E52,E58,E60,E62)</f>
        <v>3173.154</v>
      </c>
      <c r="F34" s="501">
        <f t="shared" ref="F34:G34" si="10">SUM(F38,F44,F48,F50,F52,F58,F60,F62)</f>
        <v>3136.0349999999999</v>
      </c>
      <c r="G34" s="501">
        <f t="shared" si="10"/>
        <v>2790.453</v>
      </c>
      <c r="H34" s="539">
        <f>G34/F34</f>
        <v>0.88980288804174701</v>
      </c>
      <c r="I34" s="501">
        <f t="shared" ref="I34" si="11">SUM(I38,I44,I48,I50,I52,I58,I60,I62)</f>
        <v>2631.95</v>
      </c>
      <c r="J34" s="501" t="s">
        <v>1229</v>
      </c>
      <c r="K34" s="2175"/>
      <c r="L34" s="2176"/>
      <c r="M34" s="2176"/>
      <c r="N34" s="2176"/>
      <c r="O34" s="2176"/>
      <c r="P34" s="2176"/>
      <c r="Q34" s="2176"/>
      <c r="R34" s="2176"/>
      <c r="S34" s="2176"/>
      <c r="T34" s="2176"/>
      <c r="U34" s="2177"/>
      <c r="V34" s="368"/>
      <c r="W34" s="368"/>
    </row>
    <row r="35" spans="1:23" ht="42" customHeight="1">
      <c r="A35" s="1803" t="s">
        <v>2518</v>
      </c>
      <c r="B35" s="1824" t="s">
        <v>3803</v>
      </c>
      <c r="C35" s="1828">
        <v>188711925</v>
      </c>
      <c r="D35" s="733" t="s">
        <v>66</v>
      </c>
      <c r="E35" s="734">
        <v>43.738999999999997</v>
      </c>
      <c r="F35" s="734">
        <v>43.738999999999997</v>
      </c>
      <c r="G35" s="734">
        <v>0</v>
      </c>
      <c r="H35" s="734">
        <v>0</v>
      </c>
      <c r="I35" s="734">
        <v>576.25</v>
      </c>
      <c r="J35" s="1701" t="s">
        <v>2274</v>
      </c>
      <c r="K35" s="1699" t="s">
        <v>3805</v>
      </c>
      <c r="L35" s="1646" t="s">
        <v>3409</v>
      </c>
      <c r="M35" s="1646" t="s">
        <v>1704</v>
      </c>
      <c r="N35" s="1646" t="s">
        <v>1536</v>
      </c>
      <c r="O35" s="1646" t="s">
        <v>613</v>
      </c>
      <c r="P35" s="1646" t="s">
        <v>613</v>
      </c>
      <c r="Q35" s="1646" t="s">
        <v>613</v>
      </c>
      <c r="R35" s="1646" t="s">
        <v>208</v>
      </c>
      <c r="S35" s="638" t="s">
        <v>2516</v>
      </c>
      <c r="T35" s="657"/>
      <c r="U35" s="1735" t="s">
        <v>3626</v>
      </c>
      <c r="V35" s="368"/>
      <c r="W35" s="368"/>
    </row>
    <row r="36" spans="1:23" ht="42" hidden="1" customHeight="1">
      <c r="A36" s="1803"/>
      <c r="B36" s="1791"/>
      <c r="C36" s="1826"/>
      <c r="D36" s="724" t="s">
        <v>341</v>
      </c>
      <c r="E36" s="701"/>
      <c r="F36" s="701"/>
      <c r="G36" s="701"/>
      <c r="H36" s="701"/>
      <c r="I36" s="701"/>
      <c r="J36" s="1882"/>
      <c r="K36" s="1700"/>
      <c r="L36" s="1646"/>
      <c r="M36" s="1646"/>
      <c r="N36" s="1646"/>
      <c r="O36" s="1646"/>
      <c r="P36" s="1646"/>
      <c r="Q36" s="1646"/>
      <c r="R36" s="1646"/>
      <c r="S36" s="1646" t="s">
        <v>2517</v>
      </c>
      <c r="T36" s="657"/>
      <c r="U36" s="1735"/>
      <c r="V36" s="368"/>
      <c r="W36" s="368"/>
    </row>
    <row r="37" spans="1:23" ht="42" hidden="1" customHeight="1">
      <c r="A37" s="1803"/>
      <c r="B37" s="1791"/>
      <c r="C37" s="1826"/>
      <c r="D37" s="724" t="s">
        <v>1349</v>
      </c>
      <c r="E37" s="701"/>
      <c r="F37" s="701"/>
      <c r="G37" s="701"/>
      <c r="H37" s="701"/>
      <c r="I37" s="701"/>
      <c r="J37" s="1882"/>
      <c r="K37" s="1700"/>
      <c r="L37" s="1646"/>
      <c r="M37" s="1646"/>
      <c r="N37" s="1646"/>
      <c r="O37" s="1646"/>
      <c r="P37" s="1646"/>
      <c r="Q37" s="1646"/>
      <c r="R37" s="1646"/>
      <c r="S37" s="1646"/>
      <c r="T37" s="657"/>
      <c r="U37" s="1735"/>
      <c r="V37" s="368"/>
      <c r="W37" s="368"/>
    </row>
    <row r="38" spans="1:23" ht="72.75" customHeight="1">
      <c r="A38" s="1803"/>
      <c r="B38" s="1791"/>
      <c r="C38" s="1826"/>
      <c r="D38" s="727" t="s">
        <v>1321</v>
      </c>
      <c r="E38" s="706">
        <f>SUM(E35:E37)</f>
        <v>43.738999999999997</v>
      </c>
      <c r="F38" s="706">
        <f t="shared" ref="F38:H38" si="12">SUM(F35:F37)</f>
        <v>43.738999999999997</v>
      </c>
      <c r="G38" s="706">
        <f t="shared" si="12"/>
        <v>0</v>
      </c>
      <c r="H38" s="706">
        <f t="shared" si="12"/>
        <v>0</v>
      </c>
      <c r="I38" s="706">
        <f t="shared" ref="I38" si="13">SUM(I35:I37)</f>
        <v>576.25</v>
      </c>
      <c r="J38" s="1702"/>
      <c r="K38" s="1700"/>
      <c r="L38" s="1646"/>
      <c r="M38" s="1646"/>
      <c r="N38" s="1646"/>
      <c r="O38" s="1646"/>
      <c r="P38" s="1646"/>
      <c r="Q38" s="1646"/>
      <c r="R38" s="1646"/>
      <c r="S38" s="1646"/>
      <c r="T38" s="657"/>
      <c r="U38" s="1735"/>
      <c r="V38" s="368"/>
      <c r="W38" s="368"/>
    </row>
    <row r="39" spans="1:23" ht="42" hidden="1" customHeight="1">
      <c r="A39" s="505"/>
      <c r="B39" s="1270" t="s">
        <v>2758</v>
      </c>
      <c r="C39" s="990"/>
      <c r="D39" s="1388"/>
      <c r="E39" s="974"/>
      <c r="F39" s="974"/>
      <c r="G39" s="974"/>
      <c r="H39" s="974"/>
      <c r="I39" s="719"/>
      <c r="J39" s="1196"/>
      <c r="K39" s="1493" t="s">
        <v>2759</v>
      </c>
      <c r="L39" s="484"/>
      <c r="M39" s="484"/>
      <c r="N39" s="484"/>
      <c r="O39" s="484"/>
      <c r="P39" s="484"/>
      <c r="Q39" s="484"/>
      <c r="R39" s="484"/>
      <c r="S39" s="485"/>
      <c r="T39" s="1200"/>
      <c r="U39" s="1189"/>
      <c r="V39" s="368"/>
      <c r="W39" s="368"/>
    </row>
    <row r="40" spans="1:23" ht="42" hidden="1" customHeight="1">
      <c r="A40" s="505"/>
      <c r="B40" s="1403"/>
      <c r="C40" s="990"/>
      <c r="D40" s="1388"/>
      <c r="E40" s="974"/>
      <c r="F40" s="974"/>
      <c r="G40" s="974"/>
      <c r="H40" s="974"/>
      <c r="I40" s="719"/>
      <c r="J40" s="1196"/>
      <c r="K40" s="1493"/>
      <c r="L40" s="484"/>
      <c r="M40" s="484"/>
      <c r="N40" s="484"/>
      <c r="O40" s="484"/>
      <c r="P40" s="484"/>
      <c r="Q40" s="484"/>
      <c r="R40" s="484"/>
      <c r="S40" s="485"/>
      <c r="T40" s="1200"/>
      <c r="U40" s="1189"/>
      <c r="V40" s="368"/>
      <c r="W40" s="368"/>
    </row>
    <row r="41" spans="1:23" ht="36" customHeight="1">
      <c r="A41" s="1803" t="s">
        <v>2147</v>
      </c>
      <c r="B41" s="1791" t="s">
        <v>2760</v>
      </c>
      <c r="C41" s="1826">
        <v>188711925</v>
      </c>
      <c r="D41" s="733" t="s">
        <v>66</v>
      </c>
      <c r="E41" s="701">
        <v>15</v>
      </c>
      <c r="F41" s="701">
        <v>15</v>
      </c>
      <c r="G41" s="701">
        <v>9.6189999999999998</v>
      </c>
      <c r="H41" s="702">
        <f>G41/F41</f>
        <v>0.64126666666666665</v>
      </c>
      <c r="I41" s="701"/>
      <c r="J41" s="1701" t="s">
        <v>2275</v>
      </c>
      <c r="K41" s="1699" t="s">
        <v>3806</v>
      </c>
      <c r="L41" s="1646" t="s">
        <v>3410</v>
      </c>
      <c r="M41" s="1646" t="s">
        <v>1704</v>
      </c>
      <c r="N41" s="1646" t="s">
        <v>1757</v>
      </c>
      <c r="O41" s="1646" t="s">
        <v>1540</v>
      </c>
      <c r="P41" s="1646" t="s">
        <v>613</v>
      </c>
      <c r="Q41" s="1646" t="s">
        <v>613</v>
      </c>
      <c r="R41" s="1646" t="s">
        <v>613</v>
      </c>
      <c r="S41" s="1646" t="s">
        <v>2276</v>
      </c>
      <c r="T41" s="657"/>
      <c r="U41" s="1735" t="s">
        <v>3548</v>
      </c>
      <c r="V41" s="368"/>
      <c r="W41" s="368"/>
    </row>
    <row r="42" spans="1:23" ht="29.5" customHeight="1">
      <c r="A42" s="1803"/>
      <c r="B42" s="1791"/>
      <c r="C42" s="1826"/>
      <c r="D42" s="724" t="s">
        <v>341</v>
      </c>
      <c r="E42" s="701">
        <v>135.80000000000001</v>
      </c>
      <c r="F42" s="701">
        <v>154.15100000000001</v>
      </c>
      <c r="G42" s="701">
        <v>154.15100000000001</v>
      </c>
      <c r="H42" s="702">
        <f t="shared" ref="H42:H43" si="14">G42/F42</f>
        <v>1</v>
      </c>
      <c r="I42" s="701"/>
      <c r="J42" s="1882"/>
      <c r="K42" s="1700"/>
      <c r="L42" s="1646"/>
      <c r="M42" s="1646"/>
      <c r="N42" s="1646"/>
      <c r="O42" s="1646"/>
      <c r="P42" s="1646"/>
      <c r="Q42" s="1646"/>
      <c r="R42" s="1646"/>
      <c r="S42" s="1646"/>
      <c r="T42" s="657"/>
      <c r="U42" s="1735"/>
      <c r="V42" s="368"/>
      <c r="W42" s="368"/>
    </row>
    <row r="43" spans="1:23" ht="30" customHeight="1">
      <c r="A43" s="1803"/>
      <c r="B43" s="1791"/>
      <c r="C43" s="1826"/>
      <c r="D43" s="724" t="s">
        <v>1349</v>
      </c>
      <c r="E43" s="701">
        <v>44.148000000000003</v>
      </c>
      <c r="F43" s="701">
        <v>7.476</v>
      </c>
      <c r="G43" s="701">
        <v>7.476</v>
      </c>
      <c r="H43" s="702">
        <f t="shared" si="14"/>
        <v>1</v>
      </c>
      <c r="I43" s="701"/>
      <c r="J43" s="1882"/>
      <c r="K43" s="1700"/>
      <c r="L43" s="1646"/>
      <c r="M43" s="1646"/>
      <c r="N43" s="1646"/>
      <c r="O43" s="1646"/>
      <c r="P43" s="1646"/>
      <c r="Q43" s="1646"/>
      <c r="R43" s="1646"/>
      <c r="S43" s="1646"/>
      <c r="T43" s="657"/>
      <c r="U43" s="1735"/>
      <c r="V43" s="368"/>
      <c r="W43" s="368"/>
    </row>
    <row r="44" spans="1:23" ht="42" customHeight="1">
      <c r="A44" s="1803"/>
      <c r="B44" s="1791"/>
      <c r="C44" s="1826"/>
      <c r="D44" s="727" t="s">
        <v>1321</v>
      </c>
      <c r="E44" s="706">
        <f>SUM(E41:E43)</f>
        <v>194.94800000000001</v>
      </c>
      <c r="F44" s="706">
        <f t="shared" ref="F44:G44" si="15">SUM(F41:F43)</f>
        <v>176.62700000000001</v>
      </c>
      <c r="G44" s="706">
        <f t="shared" si="15"/>
        <v>171.24600000000001</v>
      </c>
      <c r="H44" s="707">
        <f>G44/F44</f>
        <v>0.96953466910495001</v>
      </c>
      <c r="I44" s="706">
        <f t="shared" ref="I44" si="16">SUM(I41:I43)</f>
        <v>0</v>
      </c>
      <c r="J44" s="1702"/>
      <c r="K44" s="1700"/>
      <c r="L44" s="1646"/>
      <c r="M44" s="1646"/>
      <c r="N44" s="1646"/>
      <c r="O44" s="1646"/>
      <c r="P44" s="1646"/>
      <c r="Q44" s="1646"/>
      <c r="R44" s="1646"/>
      <c r="S44" s="1646"/>
      <c r="T44" s="657"/>
      <c r="U44" s="1735"/>
      <c r="V44" s="368"/>
      <c r="W44" s="368"/>
    </row>
    <row r="45" spans="1:23" ht="42" customHeight="1">
      <c r="A45" s="1803" t="s">
        <v>2148</v>
      </c>
      <c r="B45" s="1791" t="s">
        <v>1502</v>
      </c>
      <c r="C45" s="1826">
        <v>188711925</v>
      </c>
      <c r="D45" s="724" t="s">
        <v>668</v>
      </c>
      <c r="E45" s="701">
        <v>83</v>
      </c>
      <c r="F45" s="701">
        <v>83</v>
      </c>
      <c r="G45" s="701">
        <v>33.526000000000003</v>
      </c>
      <c r="H45" s="702">
        <f>G45/F45</f>
        <v>0.40392771084337353</v>
      </c>
      <c r="I45" s="701">
        <v>4</v>
      </c>
      <c r="J45" s="1701" t="s">
        <v>2277</v>
      </c>
      <c r="K45" s="1699" t="s">
        <v>3807</v>
      </c>
      <c r="L45" s="1637" t="s">
        <v>3411</v>
      </c>
      <c r="M45" s="1637" t="s">
        <v>2962</v>
      </c>
      <c r="N45" s="1637" t="s">
        <v>551</v>
      </c>
      <c r="O45" s="1637" t="s">
        <v>551</v>
      </c>
      <c r="P45" s="1637" t="s">
        <v>1536</v>
      </c>
      <c r="Q45" s="1637" t="s">
        <v>1536</v>
      </c>
      <c r="R45" s="1637" t="s">
        <v>1536</v>
      </c>
      <c r="S45" s="1637" t="s">
        <v>2480</v>
      </c>
      <c r="T45" s="1200"/>
      <c r="U45" s="1991" t="s">
        <v>3548</v>
      </c>
      <c r="V45" s="368"/>
      <c r="W45" s="368"/>
    </row>
    <row r="46" spans="1:23" ht="42" customHeight="1">
      <c r="A46" s="1803"/>
      <c r="B46" s="1791"/>
      <c r="C46" s="1826"/>
      <c r="D46" s="724" t="s">
        <v>1349</v>
      </c>
      <c r="E46" s="701">
        <v>1185</v>
      </c>
      <c r="F46" s="701">
        <v>1217.3</v>
      </c>
      <c r="G46" s="701">
        <v>1216.9839999999999</v>
      </c>
      <c r="H46" s="702">
        <f>G46/F46</f>
        <v>0.99974040910211115</v>
      </c>
      <c r="I46" s="701">
        <v>1121.7</v>
      </c>
      <c r="J46" s="1882"/>
      <c r="K46" s="1700"/>
      <c r="L46" s="1638"/>
      <c r="M46" s="1638"/>
      <c r="N46" s="1638"/>
      <c r="O46" s="1638"/>
      <c r="P46" s="1638"/>
      <c r="Q46" s="1638"/>
      <c r="R46" s="1638"/>
      <c r="S46" s="1638"/>
      <c r="T46" s="1200"/>
      <c r="U46" s="1992"/>
      <c r="V46" s="368"/>
      <c r="W46" s="368"/>
    </row>
    <row r="47" spans="1:23" ht="42" hidden="1" customHeight="1">
      <c r="A47" s="1803"/>
      <c r="B47" s="1791"/>
      <c r="C47" s="1826"/>
      <c r="D47" s="724" t="s">
        <v>2751</v>
      </c>
      <c r="E47" s="701"/>
      <c r="F47" s="701"/>
      <c r="G47" s="701"/>
      <c r="H47" s="701"/>
      <c r="I47" s="701">
        <v>90</v>
      </c>
      <c r="J47" s="1882"/>
      <c r="K47" s="1700"/>
      <c r="L47" s="1638"/>
      <c r="M47" s="1638"/>
      <c r="N47" s="1638"/>
      <c r="O47" s="1638"/>
      <c r="P47" s="1638"/>
      <c r="Q47" s="1638"/>
      <c r="R47" s="1638"/>
      <c r="S47" s="1638"/>
      <c r="T47" s="1200"/>
      <c r="U47" s="1992"/>
      <c r="V47" s="368"/>
      <c r="W47" s="368"/>
    </row>
    <row r="48" spans="1:23" ht="330" customHeight="1">
      <c r="A48" s="1803"/>
      <c r="B48" s="1791"/>
      <c r="C48" s="1826"/>
      <c r="D48" s="727" t="s">
        <v>1321</v>
      </c>
      <c r="E48" s="706">
        <f>SUM(E45:E46)</f>
        <v>1268</v>
      </c>
      <c r="F48" s="706">
        <f>SUM(F45:F46)</f>
        <v>1300.3</v>
      </c>
      <c r="G48" s="706">
        <f>SUM(G45:G46)</f>
        <v>1250.51</v>
      </c>
      <c r="H48" s="707">
        <f>G48/F48</f>
        <v>0.96170883642236404</v>
      </c>
      <c r="I48" s="706">
        <f>SUM(I45:I47)</f>
        <v>1215.7</v>
      </c>
      <c r="J48" s="1702"/>
      <c r="K48" s="1700"/>
      <c r="L48" s="1638"/>
      <c r="M48" s="1638"/>
      <c r="N48" s="1639"/>
      <c r="O48" s="1639"/>
      <c r="P48" s="1638"/>
      <c r="Q48" s="1638"/>
      <c r="R48" s="1638"/>
      <c r="S48" s="1639"/>
      <c r="T48" s="1200"/>
      <c r="U48" s="1993"/>
      <c r="V48" s="368"/>
      <c r="W48" s="368"/>
    </row>
    <row r="49" spans="1:23" ht="42" customHeight="1">
      <c r="A49" s="1803" t="s">
        <v>2149</v>
      </c>
      <c r="B49" s="1791" t="s">
        <v>1503</v>
      </c>
      <c r="C49" s="1826">
        <v>188711925</v>
      </c>
      <c r="D49" s="724" t="s">
        <v>668</v>
      </c>
      <c r="E49" s="701">
        <v>58</v>
      </c>
      <c r="F49" s="701">
        <v>58</v>
      </c>
      <c r="G49" s="701">
        <v>21.667000000000002</v>
      </c>
      <c r="H49" s="702">
        <f>G49/F49</f>
        <v>0.37356896551724139</v>
      </c>
      <c r="I49" s="701">
        <v>15</v>
      </c>
      <c r="J49" s="1701" t="s">
        <v>2278</v>
      </c>
      <c r="K49" s="1699" t="s">
        <v>3595</v>
      </c>
      <c r="L49" s="1646" t="s">
        <v>3412</v>
      </c>
      <c r="M49" s="1646" t="s">
        <v>949</v>
      </c>
      <c r="N49" s="1646" t="s">
        <v>613</v>
      </c>
      <c r="O49" s="1646" t="s">
        <v>613</v>
      </c>
      <c r="P49" s="1646" t="s">
        <v>551</v>
      </c>
      <c r="Q49" s="1646" t="s">
        <v>551</v>
      </c>
      <c r="R49" s="1646" t="s">
        <v>551</v>
      </c>
      <c r="S49" s="1646" t="s">
        <v>2481</v>
      </c>
      <c r="T49" s="657"/>
      <c r="U49" s="1735" t="s">
        <v>3626</v>
      </c>
      <c r="V49" s="368"/>
      <c r="W49" s="368"/>
    </row>
    <row r="50" spans="1:23" ht="52.5" customHeight="1">
      <c r="A50" s="1803"/>
      <c r="B50" s="1791"/>
      <c r="C50" s="1826"/>
      <c r="D50" s="727" t="s">
        <v>1321</v>
      </c>
      <c r="E50" s="706">
        <f>E49</f>
        <v>58</v>
      </c>
      <c r="F50" s="706">
        <f t="shared" ref="F50:H50" si="17">F49</f>
        <v>58</v>
      </c>
      <c r="G50" s="706">
        <f t="shared" si="17"/>
        <v>21.667000000000002</v>
      </c>
      <c r="H50" s="707">
        <f t="shared" si="17"/>
        <v>0.37356896551724139</v>
      </c>
      <c r="I50" s="706">
        <f t="shared" ref="I50" si="18">I49</f>
        <v>15</v>
      </c>
      <c r="J50" s="1702"/>
      <c r="K50" s="1700"/>
      <c r="L50" s="1646"/>
      <c r="M50" s="1646"/>
      <c r="N50" s="1646"/>
      <c r="O50" s="1646"/>
      <c r="P50" s="1646"/>
      <c r="Q50" s="1646"/>
      <c r="R50" s="1646"/>
      <c r="S50" s="1646"/>
      <c r="T50" s="657"/>
      <c r="U50" s="1735"/>
      <c r="V50" s="368"/>
      <c r="W50" s="368"/>
    </row>
    <row r="51" spans="1:23" ht="42" customHeight="1">
      <c r="A51" s="1803" t="s">
        <v>2150</v>
      </c>
      <c r="B51" s="1791" t="s">
        <v>2761</v>
      </c>
      <c r="C51" s="1826">
        <v>188711925</v>
      </c>
      <c r="D51" s="724" t="s">
        <v>668</v>
      </c>
      <c r="E51" s="701">
        <v>106.54600000000001</v>
      </c>
      <c r="F51" s="701">
        <v>106.54600000000001</v>
      </c>
      <c r="G51" s="701">
        <v>106.52200000000001</v>
      </c>
      <c r="H51" s="702">
        <f>G51/F51</f>
        <v>0.99977474518048537</v>
      </c>
      <c r="I51" s="701"/>
      <c r="J51" s="1701" t="s">
        <v>2279</v>
      </c>
      <c r="K51" s="1699" t="s">
        <v>3427</v>
      </c>
      <c r="L51" s="1646" t="s">
        <v>3413</v>
      </c>
      <c r="M51" s="1646" t="s">
        <v>2963</v>
      </c>
      <c r="N51" s="1646" t="s">
        <v>469</v>
      </c>
      <c r="O51" s="1646" t="s">
        <v>469</v>
      </c>
      <c r="P51" s="1646" t="s">
        <v>613</v>
      </c>
      <c r="Q51" s="1646" t="s">
        <v>613</v>
      </c>
      <c r="R51" s="1646" t="s">
        <v>613</v>
      </c>
      <c r="S51" s="1646" t="s">
        <v>2482</v>
      </c>
      <c r="T51" s="657"/>
      <c r="U51" s="1735" t="s">
        <v>3548</v>
      </c>
      <c r="V51" s="368"/>
      <c r="W51" s="368"/>
    </row>
    <row r="52" spans="1:23" ht="42" customHeight="1">
      <c r="A52" s="1803"/>
      <c r="B52" s="1791"/>
      <c r="C52" s="1826"/>
      <c r="D52" s="727" t="s">
        <v>1321</v>
      </c>
      <c r="E52" s="706">
        <f>E51</f>
        <v>106.54600000000001</v>
      </c>
      <c r="F52" s="706">
        <f t="shared" ref="F52:H52" si="19">F51</f>
        <v>106.54600000000001</v>
      </c>
      <c r="G52" s="706">
        <f t="shared" si="19"/>
        <v>106.52200000000001</v>
      </c>
      <c r="H52" s="707">
        <f t="shared" si="19"/>
        <v>0.99977474518048537</v>
      </c>
      <c r="I52" s="706">
        <f t="shared" ref="I52" si="20">I51</f>
        <v>0</v>
      </c>
      <c r="J52" s="1702"/>
      <c r="K52" s="1700"/>
      <c r="L52" s="1646"/>
      <c r="M52" s="1646"/>
      <c r="N52" s="1646"/>
      <c r="O52" s="1646"/>
      <c r="P52" s="1646"/>
      <c r="Q52" s="1646"/>
      <c r="R52" s="1646"/>
      <c r="S52" s="1646"/>
      <c r="T52" s="657"/>
      <c r="U52" s="1735"/>
      <c r="V52" s="368"/>
      <c r="W52" s="368"/>
    </row>
    <row r="53" spans="1:23" ht="30.65" customHeight="1">
      <c r="A53" s="1803" t="s">
        <v>2151</v>
      </c>
      <c r="B53" s="1791" t="s">
        <v>2762</v>
      </c>
      <c r="C53" s="1826">
        <v>188711925</v>
      </c>
      <c r="D53" s="724" t="s">
        <v>66</v>
      </c>
      <c r="E53" s="701">
        <v>604.05700000000002</v>
      </c>
      <c r="F53" s="701">
        <v>474.05700000000002</v>
      </c>
      <c r="G53" s="701">
        <v>474.048</v>
      </c>
      <c r="H53" s="702">
        <f>G53/F53</f>
        <v>0.99998101494124125</v>
      </c>
      <c r="I53" s="701">
        <v>250.40199999999999</v>
      </c>
      <c r="J53" s="1701" t="s">
        <v>2280</v>
      </c>
      <c r="K53" s="1699" t="s">
        <v>3808</v>
      </c>
      <c r="L53" s="1646" t="s">
        <v>3414</v>
      </c>
      <c r="M53" s="1646" t="s">
        <v>1705</v>
      </c>
      <c r="N53" s="1646" t="s">
        <v>613</v>
      </c>
      <c r="O53" s="1646" t="s">
        <v>613</v>
      </c>
      <c r="P53" s="1646" t="s">
        <v>469</v>
      </c>
      <c r="Q53" s="1646" t="s">
        <v>613</v>
      </c>
      <c r="R53" s="1646" t="s">
        <v>613</v>
      </c>
      <c r="S53" s="1646" t="s">
        <v>2483</v>
      </c>
      <c r="T53" s="657"/>
      <c r="U53" s="1735" t="s">
        <v>3626</v>
      </c>
      <c r="V53" s="368"/>
      <c r="W53" s="368"/>
    </row>
    <row r="54" spans="1:23" ht="22.2" customHeight="1">
      <c r="A54" s="1803"/>
      <c r="B54" s="1791"/>
      <c r="C54" s="1826"/>
      <c r="D54" s="724" t="s">
        <v>341</v>
      </c>
      <c r="E54" s="701">
        <v>200.44</v>
      </c>
      <c r="F54" s="701">
        <v>166.184</v>
      </c>
      <c r="G54" s="701">
        <v>163.46899999999999</v>
      </c>
      <c r="H54" s="702">
        <f t="shared" ref="H54:H56" si="21">G54/F54</f>
        <v>0.98366268714196314</v>
      </c>
      <c r="I54" s="701"/>
      <c r="J54" s="1882"/>
      <c r="K54" s="1699"/>
      <c r="L54" s="1646"/>
      <c r="M54" s="1646"/>
      <c r="N54" s="1646"/>
      <c r="O54" s="1646"/>
      <c r="P54" s="1646"/>
      <c r="Q54" s="1646"/>
      <c r="R54" s="1646"/>
      <c r="S54" s="1646"/>
      <c r="T54" s="657"/>
      <c r="U54" s="1735"/>
      <c r="V54" s="368"/>
      <c r="W54" s="368"/>
    </row>
    <row r="55" spans="1:23" ht="19.95" customHeight="1">
      <c r="A55" s="1803"/>
      <c r="B55" s="1791"/>
      <c r="C55" s="1826"/>
      <c r="D55" s="724" t="s">
        <v>1349</v>
      </c>
      <c r="E55" s="701"/>
      <c r="F55" s="701"/>
      <c r="G55" s="701"/>
      <c r="H55" s="702"/>
      <c r="I55" s="701"/>
      <c r="J55" s="1882"/>
      <c r="K55" s="1699"/>
      <c r="L55" s="1646"/>
      <c r="M55" s="1646"/>
      <c r="N55" s="1646"/>
      <c r="O55" s="1646"/>
      <c r="P55" s="1646"/>
      <c r="Q55" s="1646"/>
      <c r="R55" s="1646"/>
      <c r="S55" s="1646"/>
      <c r="T55" s="657"/>
      <c r="U55" s="1735"/>
      <c r="V55" s="368"/>
      <c r="W55" s="368"/>
    </row>
    <row r="56" spans="1:23" ht="19.95" customHeight="1">
      <c r="A56" s="1803"/>
      <c r="B56" s="1791"/>
      <c r="C56" s="1826"/>
      <c r="D56" s="724" t="s">
        <v>1554</v>
      </c>
      <c r="E56" s="701">
        <v>200</v>
      </c>
      <c r="F56" s="701">
        <v>330</v>
      </c>
      <c r="G56" s="701">
        <v>156.846</v>
      </c>
      <c r="H56" s="702">
        <f t="shared" si="21"/>
        <v>0.4752909090909091</v>
      </c>
      <c r="I56" s="701">
        <v>199.59800000000001</v>
      </c>
      <c r="J56" s="1882"/>
      <c r="K56" s="1699"/>
      <c r="L56" s="1646"/>
      <c r="M56" s="1646"/>
      <c r="N56" s="1646"/>
      <c r="O56" s="1646"/>
      <c r="P56" s="1646"/>
      <c r="Q56" s="1646"/>
      <c r="R56" s="1646"/>
      <c r="S56" s="1646"/>
      <c r="T56" s="657"/>
      <c r="U56" s="1735"/>
      <c r="V56" s="368"/>
      <c r="W56" s="368"/>
    </row>
    <row r="57" spans="1:23" ht="24.75" customHeight="1">
      <c r="A57" s="1803"/>
      <c r="B57" s="1791"/>
      <c r="C57" s="1826"/>
      <c r="D57" s="724" t="s">
        <v>587</v>
      </c>
      <c r="E57" s="701">
        <v>16.251999999999999</v>
      </c>
      <c r="F57" s="701"/>
      <c r="G57" s="701"/>
      <c r="H57" s="702"/>
      <c r="I57" s="701"/>
      <c r="J57" s="1882"/>
      <c r="K57" s="1699"/>
      <c r="L57" s="1646"/>
      <c r="M57" s="1646"/>
      <c r="N57" s="1646"/>
      <c r="O57" s="1646"/>
      <c r="P57" s="1646"/>
      <c r="Q57" s="1646"/>
      <c r="R57" s="1646"/>
      <c r="S57" s="1646"/>
      <c r="T57" s="657"/>
      <c r="U57" s="1735"/>
      <c r="V57" s="368"/>
      <c r="W57" s="368"/>
    </row>
    <row r="58" spans="1:23" ht="84.75" customHeight="1">
      <c r="A58" s="1803"/>
      <c r="B58" s="1791"/>
      <c r="C58" s="1826"/>
      <c r="D58" s="727" t="s">
        <v>1321</v>
      </c>
      <c r="E58" s="706">
        <f>SUM(E53:E57,)</f>
        <v>1020.749</v>
      </c>
      <c r="F58" s="706">
        <f>SUM(F53:F57,)</f>
        <v>970.24099999999999</v>
      </c>
      <c r="G58" s="706">
        <f t="shared" ref="G58" si="22">SUM(G53:G57,)</f>
        <v>794.36300000000006</v>
      </c>
      <c r="H58" s="707">
        <f t="shared" ref="H58:H63" si="23">G58/F58</f>
        <v>0.81872751203051619</v>
      </c>
      <c r="I58" s="706">
        <f>SUM(I53:I57,)</f>
        <v>450</v>
      </c>
      <c r="J58" s="1702"/>
      <c r="K58" s="1700"/>
      <c r="L58" s="1646"/>
      <c r="M58" s="1646"/>
      <c r="N58" s="1646"/>
      <c r="O58" s="1646"/>
      <c r="P58" s="1646"/>
      <c r="Q58" s="1646"/>
      <c r="R58" s="1646"/>
      <c r="S58" s="1646"/>
      <c r="T58" s="657"/>
      <c r="U58" s="1735"/>
      <c r="V58" s="368"/>
      <c r="W58" s="368"/>
    </row>
    <row r="59" spans="1:23" ht="42" customHeight="1">
      <c r="A59" s="1803" t="s">
        <v>2152</v>
      </c>
      <c r="B59" s="1791" t="s">
        <v>1504</v>
      </c>
      <c r="C59" s="1826">
        <v>188711925</v>
      </c>
      <c r="D59" s="724" t="s">
        <v>66</v>
      </c>
      <c r="E59" s="701">
        <v>200</v>
      </c>
      <c r="F59" s="701">
        <v>199.41</v>
      </c>
      <c r="G59" s="701">
        <v>181.142</v>
      </c>
      <c r="H59" s="702">
        <f t="shared" si="23"/>
        <v>0.90838974976179732</v>
      </c>
      <c r="I59" s="701">
        <v>295</v>
      </c>
      <c r="J59" s="1701" t="s">
        <v>2275</v>
      </c>
      <c r="K59" s="1699" t="s">
        <v>3809</v>
      </c>
      <c r="L59" s="1646" t="s">
        <v>3415</v>
      </c>
      <c r="M59" s="1646" t="s">
        <v>1756</v>
      </c>
      <c r="N59" s="1646" t="s">
        <v>2964</v>
      </c>
      <c r="O59" s="1646" t="s">
        <v>2964</v>
      </c>
      <c r="P59" s="1646" t="s">
        <v>1743</v>
      </c>
      <c r="Q59" s="1646" t="s">
        <v>1743</v>
      </c>
      <c r="R59" s="1646" t="s">
        <v>1743</v>
      </c>
      <c r="S59" s="1646" t="s">
        <v>2276</v>
      </c>
      <c r="T59" s="657" t="s">
        <v>2562</v>
      </c>
      <c r="U59" s="1735" t="s">
        <v>3548</v>
      </c>
      <c r="V59" s="368"/>
      <c r="W59" s="368"/>
    </row>
    <row r="60" spans="1:23" ht="42" customHeight="1">
      <c r="A60" s="1803"/>
      <c r="B60" s="1791"/>
      <c r="C60" s="1826"/>
      <c r="D60" s="727" t="s">
        <v>1321</v>
      </c>
      <c r="E60" s="706">
        <f>E59</f>
        <v>200</v>
      </c>
      <c r="F60" s="706">
        <f t="shared" ref="F60:G60" si="24">F59</f>
        <v>199.41</v>
      </c>
      <c r="G60" s="706">
        <f t="shared" si="24"/>
        <v>181.142</v>
      </c>
      <c r="H60" s="707">
        <f t="shared" si="23"/>
        <v>0.90838974976179732</v>
      </c>
      <c r="I60" s="706">
        <f t="shared" ref="I60" si="25">I59</f>
        <v>295</v>
      </c>
      <c r="J60" s="1702"/>
      <c r="K60" s="1700"/>
      <c r="L60" s="1646"/>
      <c r="M60" s="1646"/>
      <c r="N60" s="1646"/>
      <c r="O60" s="1646"/>
      <c r="P60" s="1646"/>
      <c r="Q60" s="1646"/>
      <c r="R60" s="1646"/>
      <c r="S60" s="1646"/>
      <c r="T60" s="657"/>
      <c r="U60" s="1735"/>
      <c r="V60" s="368"/>
      <c r="W60" s="368"/>
    </row>
    <row r="61" spans="1:23" ht="42" customHeight="1">
      <c r="A61" s="1803" t="s">
        <v>2153</v>
      </c>
      <c r="B61" s="1791" t="s">
        <v>968</v>
      </c>
      <c r="C61" s="1826">
        <v>188711925</v>
      </c>
      <c r="D61" s="724" t="s">
        <v>66</v>
      </c>
      <c r="E61" s="701">
        <v>281.17200000000003</v>
      </c>
      <c r="F61" s="701">
        <v>281.17200000000003</v>
      </c>
      <c r="G61" s="701">
        <v>265.00299999999999</v>
      </c>
      <c r="H61" s="702">
        <f t="shared" si="23"/>
        <v>0.94249427396753571</v>
      </c>
      <c r="I61" s="701">
        <f>20+60</f>
        <v>80</v>
      </c>
      <c r="J61" s="1701" t="s">
        <v>2279</v>
      </c>
      <c r="K61" s="1699" t="s">
        <v>3810</v>
      </c>
      <c r="L61" s="1646" t="s">
        <v>3416</v>
      </c>
      <c r="M61" s="1646" t="s">
        <v>2519</v>
      </c>
      <c r="N61" s="1646" t="s">
        <v>613</v>
      </c>
      <c r="O61" s="1646" t="s">
        <v>613</v>
      </c>
      <c r="P61" s="1646" t="s">
        <v>612</v>
      </c>
      <c r="Q61" s="1646" t="s">
        <v>613</v>
      </c>
      <c r="R61" s="1646" t="s">
        <v>613</v>
      </c>
      <c r="S61" s="1646" t="s">
        <v>2484</v>
      </c>
      <c r="T61" s="657"/>
      <c r="U61" s="1735" t="s">
        <v>3626</v>
      </c>
      <c r="V61" s="368"/>
      <c r="W61" s="368"/>
    </row>
    <row r="62" spans="1:23" ht="42" customHeight="1">
      <c r="A62" s="1843"/>
      <c r="B62" s="2011"/>
      <c r="C62" s="2019"/>
      <c r="D62" s="727" t="s">
        <v>1321</v>
      </c>
      <c r="E62" s="706">
        <f>E61</f>
        <v>281.17200000000003</v>
      </c>
      <c r="F62" s="706">
        <f t="shared" ref="F62:G62" si="26">F61</f>
        <v>281.17200000000003</v>
      </c>
      <c r="G62" s="706">
        <f t="shared" si="26"/>
        <v>265.00299999999999</v>
      </c>
      <c r="H62" s="707">
        <f t="shared" si="23"/>
        <v>0.94249427396753571</v>
      </c>
      <c r="I62" s="706">
        <f t="shared" ref="I62" si="27">I61</f>
        <v>80</v>
      </c>
      <c r="J62" s="1702"/>
      <c r="K62" s="1700"/>
      <c r="L62" s="1646"/>
      <c r="M62" s="1646"/>
      <c r="N62" s="1646"/>
      <c r="O62" s="1646"/>
      <c r="P62" s="1646"/>
      <c r="Q62" s="1646"/>
      <c r="R62" s="1646"/>
      <c r="S62" s="1646"/>
      <c r="T62" s="657"/>
      <c r="U62" s="1735"/>
      <c r="V62" s="368"/>
      <c r="W62" s="368"/>
    </row>
    <row r="63" spans="1:23" ht="45" customHeight="1">
      <c r="A63" s="501" t="s">
        <v>2192</v>
      </c>
      <c r="B63" s="496" t="s">
        <v>1505</v>
      </c>
      <c r="C63" s="501"/>
      <c r="D63" s="496"/>
      <c r="E63" s="502">
        <f>SUM(E66,E71,E75,E80)</f>
        <v>2019.183</v>
      </c>
      <c r="F63" s="502">
        <f t="shared" ref="F63:G63" si="28">SUM(F66,F71,F75,F80)</f>
        <v>1580.3579999999997</v>
      </c>
      <c r="G63" s="502">
        <f t="shared" si="28"/>
        <v>1443.6709999999998</v>
      </c>
      <c r="H63" s="539">
        <f t="shared" si="23"/>
        <v>0.91350883787091286</v>
      </c>
      <c r="I63" s="502">
        <f t="shared" ref="I63" si="29">SUM(I66,I71,I75,I80,I69)</f>
        <v>543.42100000000005</v>
      </c>
      <c r="J63" s="501" t="s">
        <v>1259</v>
      </c>
      <c r="K63" s="2175"/>
      <c r="L63" s="2176"/>
      <c r="M63" s="2176"/>
      <c r="N63" s="2176"/>
      <c r="O63" s="2176"/>
      <c r="P63" s="2176"/>
      <c r="Q63" s="2176"/>
      <c r="R63" s="2176"/>
      <c r="S63" s="2176"/>
      <c r="T63" s="2176"/>
      <c r="U63" s="2177"/>
      <c r="V63" s="368"/>
      <c r="W63" s="368"/>
    </row>
    <row r="64" spans="1:23" ht="31.2" customHeight="1">
      <c r="A64" s="1803" t="s">
        <v>2154</v>
      </c>
      <c r="B64" s="1791" t="s">
        <v>3811</v>
      </c>
      <c r="C64" s="1826">
        <v>188711925</v>
      </c>
      <c r="D64" s="724" t="s">
        <v>668</v>
      </c>
      <c r="E64" s="810"/>
      <c r="F64" s="810"/>
      <c r="G64" s="810"/>
      <c r="H64" s="810"/>
      <c r="I64" s="701"/>
      <c r="J64" s="1701" t="s">
        <v>2281</v>
      </c>
      <c r="K64" s="1699" t="s">
        <v>3596</v>
      </c>
      <c r="L64" s="1646" t="s">
        <v>652</v>
      </c>
      <c r="M64" s="1646" t="s">
        <v>2965</v>
      </c>
      <c r="N64" s="1646" t="s">
        <v>469</v>
      </c>
      <c r="O64" s="1646" t="s">
        <v>613</v>
      </c>
      <c r="P64" s="1646" t="s">
        <v>613</v>
      </c>
      <c r="Q64" s="1646" t="s">
        <v>613</v>
      </c>
      <c r="R64" s="1646" t="s">
        <v>613</v>
      </c>
      <c r="S64" s="1646" t="s">
        <v>1618</v>
      </c>
      <c r="T64" s="657"/>
      <c r="U64" s="1735" t="s">
        <v>3557</v>
      </c>
      <c r="V64" s="368"/>
      <c r="W64" s="368"/>
    </row>
    <row r="65" spans="1:23" ht="18.649999999999999" hidden="1" customHeight="1">
      <c r="A65" s="1803"/>
      <c r="B65" s="1791"/>
      <c r="C65" s="1826"/>
      <c r="D65" s="724" t="s">
        <v>341</v>
      </c>
      <c r="E65" s="810"/>
      <c r="F65" s="810"/>
      <c r="G65" s="810"/>
      <c r="H65" s="810"/>
      <c r="I65" s="701"/>
      <c r="J65" s="1882"/>
      <c r="K65" s="1699"/>
      <c r="L65" s="1646"/>
      <c r="M65" s="1646"/>
      <c r="N65" s="1646"/>
      <c r="O65" s="1646"/>
      <c r="P65" s="1646"/>
      <c r="Q65" s="1646"/>
      <c r="R65" s="1646"/>
      <c r="S65" s="1646"/>
      <c r="T65" s="657"/>
      <c r="U65" s="1735"/>
      <c r="V65" s="368"/>
      <c r="W65" s="368"/>
    </row>
    <row r="66" spans="1:23" ht="35.25" customHeight="1">
      <c r="A66" s="1803"/>
      <c r="B66" s="1791"/>
      <c r="C66" s="1826"/>
      <c r="D66" s="727" t="s">
        <v>1321</v>
      </c>
      <c r="E66" s="1106"/>
      <c r="F66" s="1106"/>
      <c r="G66" s="1106"/>
      <c r="H66" s="1106"/>
      <c r="I66" s="706">
        <f t="shared" ref="I66" si="30">I64</f>
        <v>0</v>
      </c>
      <c r="J66" s="1702"/>
      <c r="K66" s="1700"/>
      <c r="L66" s="1646"/>
      <c r="M66" s="1646"/>
      <c r="N66" s="1646"/>
      <c r="O66" s="1646"/>
      <c r="P66" s="1646"/>
      <c r="Q66" s="1646"/>
      <c r="R66" s="1646"/>
      <c r="S66" s="1646"/>
      <c r="T66" s="657"/>
      <c r="U66" s="1735"/>
      <c r="V66" s="368"/>
      <c r="W66" s="368"/>
    </row>
    <row r="67" spans="1:23" ht="25.95" hidden="1" customHeight="1">
      <c r="A67" s="1803" t="s">
        <v>2520</v>
      </c>
      <c r="B67" s="1791" t="s">
        <v>2700</v>
      </c>
      <c r="C67" s="1826">
        <v>188711925</v>
      </c>
      <c r="D67" s="724" t="s">
        <v>668</v>
      </c>
      <c r="E67" s="810"/>
      <c r="F67" s="810"/>
      <c r="G67" s="810"/>
      <c r="H67" s="810"/>
      <c r="I67" s="701">
        <v>21</v>
      </c>
      <c r="J67" s="1701" t="s">
        <v>2284</v>
      </c>
      <c r="K67" s="1699" t="s">
        <v>2846</v>
      </c>
      <c r="L67" s="1646" t="s">
        <v>1732</v>
      </c>
      <c r="M67" s="1646" t="s">
        <v>2522</v>
      </c>
      <c r="N67" s="638"/>
      <c r="O67" s="638"/>
      <c r="P67" s="1646" t="s">
        <v>469</v>
      </c>
      <c r="Q67" s="1646" t="s">
        <v>469</v>
      </c>
      <c r="R67" s="1646" t="s">
        <v>469</v>
      </c>
      <c r="S67" s="1646" t="s">
        <v>2521</v>
      </c>
      <c r="T67" s="826" t="s">
        <v>2615</v>
      </c>
      <c r="U67" s="657"/>
      <c r="V67" s="368"/>
      <c r="W67" s="368"/>
    </row>
    <row r="68" spans="1:23" ht="22.95" hidden="1" customHeight="1">
      <c r="A68" s="1803"/>
      <c r="B68" s="1791"/>
      <c r="C68" s="1826"/>
      <c r="D68" s="724" t="s">
        <v>341</v>
      </c>
      <c r="E68" s="810"/>
      <c r="F68" s="810"/>
      <c r="G68" s="810"/>
      <c r="H68" s="810"/>
      <c r="I68" s="701"/>
      <c r="J68" s="1882"/>
      <c r="K68" s="1699"/>
      <c r="L68" s="1646"/>
      <c r="M68" s="1646"/>
      <c r="N68" s="638"/>
      <c r="O68" s="638"/>
      <c r="P68" s="1646"/>
      <c r="Q68" s="1646"/>
      <c r="R68" s="1646"/>
      <c r="S68" s="1646"/>
      <c r="T68" s="657"/>
      <c r="U68" s="657"/>
      <c r="V68" s="368"/>
      <c r="W68" s="368"/>
    </row>
    <row r="69" spans="1:23" ht="5.25" hidden="1" customHeight="1">
      <c r="A69" s="1803"/>
      <c r="B69" s="1791"/>
      <c r="C69" s="1826"/>
      <c r="D69" s="727" t="s">
        <v>1321</v>
      </c>
      <c r="E69" s="1106">
        <f>E67</f>
        <v>0</v>
      </c>
      <c r="F69" s="1106"/>
      <c r="G69" s="1106"/>
      <c r="H69" s="1106"/>
      <c r="I69" s="706">
        <f t="shared" ref="I69" si="31">I67</f>
        <v>21</v>
      </c>
      <c r="J69" s="1702"/>
      <c r="K69" s="1700"/>
      <c r="L69" s="1646"/>
      <c r="M69" s="1646"/>
      <c r="N69" s="638"/>
      <c r="O69" s="638"/>
      <c r="P69" s="1646"/>
      <c r="Q69" s="1646"/>
      <c r="R69" s="1646"/>
      <c r="S69" s="1646"/>
      <c r="T69" s="657"/>
      <c r="U69" s="657"/>
      <c r="V69" s="368"/>
      <c r="W69" s="368"/>
    </row>
    <row r="70" spans="1:23" ht="40.950000000000003" customHeight="1">
      <c r="A70" s="1803" t="s">
        <v>2155</v>
      </c>
      <c r="B70" s="1791" t="s">
        <v>3812</v>
      </c>
      <c r="C70" s="1826">
        <v>188711925</v>
      </c>
      <c r="D70" s="724" t="s">
        <v>66</v>
      </c>
      <c r="E70" s="643">
        <v>135</v>
      </c>
      <c r="F70" s="643">
        <v>173.44800000000001</v>
      </c>
      <c r="G70" s="643">
        <v>173.447</v>
      </c>
      <c r="H70" s="735">
        <f>G70/F70</f>
        <v>0.99999423458327563</v>
      </c>
      <c r="I70" s="701">
        <v>20</v>
      </c>
      <c r="J70" s="1701" t="s">
        <v>2227</v>
      </c>
      <c r="K70" s="1699" t="s">
        <v>2966</v>
      </c>
      <c r="L70" s="1646" t="s">
        <v>3417</v>
      </c>
      <c r="M70" s="1646" t="s">
        <v>2763</v>
      </c>
      <c r="N70" s="1646" t="s">
        <v>2485</v>
      </c>
      <c r="O70" s="1646" t="s">
        <v>2485</v>
      </c>
      <c r="P70" s="1646" t="s">
        <v>2485</v>
      </c>
      <c r="Q70" s="1646" t="s">
        <v>613</v>
      </c>
      <c r="R70" s="1646" t="s">
        <v>613</v>
      </c>
      <c r="S70" s="1646" t="s">
        <v>1618</v>
      </c>
      <c r="T70" s="657"/>
      <c r="U70" s="1735" t="s">
        <v>3548</v>
      </c>
      <c r="V70" s="368"/>
      <c r="W70" s="368"/>
    </row>
    <row r="71" spans="1:23" ht="34.200000000000003" customHeight="1">
      <c r="A71" s="1803"/>
      <c r="B71" s="1791"/>
      <c r="C71" s="1826"/>
      <c r="D71" s="727" t="s">
        <v>1321</v>
      </c>
      <c r="E71" s="706">
        <f>E70</f>
        <v>135</v>
      </c>
      <c r="F71" s="706">
        <f t="shared" ref="F71:G71" si="32">F70</f>
        <v>173.44800000000001</v>
      </c>
      <c r="G71" s="706">
        <f t="shared" si="32"/>
        <v>173.447</v>
      </c>
      <c r="H71" s="707">
        <f>G71/F71</f>
        <v>0.99999423458327563</v>
      </c>
      <c r="I71" s="706">
        <f t="shared" ref="I71" si="33">I70</f>
        <v>20</v>
      </c>
      <c r="J71" s="1702"/>
      <c r="K71" s="1700"/>
      <c r="L71" s="1646"/>
      <c r="M71" s="1646"/>
      <c r="N71" s="1646"/>
      <c r="O71" s="1646"/>
      <c r="P71" s="1646"/>
      <c r="Q71" s="1646"/>
      <c r="R71" s="1646"/>
      <c r="S71" s="1646"/>
      <c r="T71" s="657"/>
      <c r="U71" s="1735"/>
      <c r="V71" s="368"/>
      <c r="W71" s="368"/>
    </row>
    <row r="72" spans="1:23" ht="27.65" customHeight="1">
      <c r="A72" s="1803" t="s">
        <v>2156</v>
      </c>
      <c r="B72" s="1791" t="s">
        <v>966</v>
      </c>
      <c r="C72" s="1826">
        <v>188711925</v>
      </c>
      <c r="D72" s="724" t="s">
        <v>668</v>
      </c>
      <c r="E72" s="701">
        <v>538.55999999999995</v>
      </c>
      <c r="F72" s="701">
        <v>668.56</v>
      </c>
      <c r="G72" s="701">
        <v>630.34799999999996</v>
      </c>
      <c r="H72" s="702">
        <f>G72/F72</f>
        <v>0.94284432212516456</v>
      </c>
      <c r="I72" s="701">
        <f>400-25</f>
        <v>375</v>
      </c>
      <c r="J72" s="1701" t="s">
        <v>2282</v>
      </c>
      <c r="K72" s="1699" t="s">
        <v>2967</v>
      </c>
      <c r="L72" s="1646" t="s">
        <v>3418</v>
      </c>
      <c r="M72" s="1646" t="s">
        <v>2968</v>
      </c>
      <c r="N72" s="1646" t="s">
        <v>613</v>
      </c>
      <c r="O72" s="1646" t="s">
        <v>469</v>
      </c>
      <c r="P72" s="1646" t="s">
        <v>469</v>
      </c>
      <c r="Q72" s="1646">
        <v>0</v>
      </c>
      <c r="R72" s="1646" t="s">
        <v>613</v>
      </c>
      <c r="S72" s="1646" t="s">
        <v>2283</v>
      </c>
      <c r="T72" s="657"/>
      <c r="U72" s="1735" t="s">
        <v>3548</v>
      </c>
      <c r="V72" s="368"/>
      <c r="W72" s="368"/>
    </row>
    <row r="73" spans="1:23" ht="26.5" customHeight="1">
      <c r="A73" s="1803"/>
      <c r="B73" s="1791"/>
      <c r="C73" s="1826"/>
      <c r="D73" s="724" t="s">
        <v>587</v>
      </c>
      <c r="E73" s="701">
        <v>420</v>
      </c>
      <c r="F73" s="701"/>
      <c r="G73" s="701"/>
      <c r="H73" s="701"/>
      <c r="I73" s="701"/>
      <c r="J73" s="1882"/>
      <c r="K73" s="1699"/>
      <c r="L73" s="1646"/>
      <c r="M73" s="1646"/>
      <c r="N73" s="1646"/>
      <c r="O73" s="1646"/>
      <c r="P73" s="1646"/>
      <c r="Q73" s="1646"/>
      <c r="R73" s="1646"/>
      <c r="S73" s="1646"/>
      <c r="T73" s="657"/>
      <c r="U73" s="1735"/>
      <c r="V73" s="368"/>
      <c r="W73" s="368"/>
    </row>
    <row r="74" spans="1:23" ht="29.25" customHeight="1">
      <c r="A74" s="1803"/>
      <c r="B74" s="1791"/>
      <c r="C74" s="1826"/>
      <c r="D74" s="724" t="s">
        <v>1554</v>
      </c>
      <c r="E74" s="701">
        <v>130</v>
      </c>
      <c r="F74" s="701"/>
      <c r="G74" s="701"/>
      <c r="H74" s="701"/>
      <c r="I74" s="701"/>
      <c r="J74" s="1882"/>
      <c r="K74" s="1699"/>
      <c r="L74" s="1646"/>
      <c r="M74" s="1646"/>
      <c r="N74" s="1646"/>
      <c r="O74" s="1646"/>
      <c r="P74" s="1646"/>
      <c r="Q74" s="1646"/>
      <c r="R74" s="1646"/>
      <c r="S74" s="1646"/>
      <c r="T74" s="657"/>
      <c r="U74" s="1735"/>
      <c r="V74" s="368"/>
      <c r="W74" s="368"/>
    </row>
    <row r="75" spans="1:23" ht="33" customHeight="1">
      <c r="A75" s="1843"/>
      <c r="B75" s="1791"/>
      <c r="C75" s="2019"/>
      <c r="D75" s="727" t="s">
        <v>1321</v>
      </c>
      <c r="E75" s="706">
        <f>SUM(E72:E74)</f>
        <v>1088.56</v>
      </c>
      <c r="F75" s="706">
        <f t="shared" ref="F75:H75" si="34">SUM(F72:F74)</f>
        <v>668.56</v>
      </c>
      <c r="G75" s="706">
        <f t="shared" si="34"/>
        <v>630.34799999999996</v>
      </c>
      <c r="H75" s="707">
        <f t="shared" si="34"/>
        <v>0.94284432212516456</v>
      </c>
      <c r="I75" s="706">
        <f t="shared" ref="I75" si="35">SUM(I72:I74)</f>
        <v>375</v>
      </c>
      <c r="J75" s="1702"/>
      <c r="K75" s="1700"/>
      <c r="L75" s="1646"/>
      <c r="M75" s="1646"/>
      <c r="N75" s="1646"/>
      <c r="O75" s="1646"/>
      <c r="P75" s="1646"/>
      <c r="Q75" s="1646"/>
      <c r="R75" s="1646"/>
      <c r="S75" s="1646"/>
      <c r="T75" s="657"/>
      <c r="U75" s="1735"/>
      <c r="V75" s="368"/>
      <c r="W75" s="368"/>
    </row>
    <row r="76" spans="1:23" ht="21.65" customHeight="1">
      <c r="A76" s="1803" t="s">
        <v>2157</v>
      </c>
      <c r="B76" s="1889" t="s">
        <v>3813</v>
      </c>
      <c r="C76" s="1826">
        <v>188711925</v>
      </c>
      <c r="D76" s="724" t="s">
        <v>66</v>
      </c>
      <c r="E76" s="701">
        <v>1</v>
      </c>
      <c r="F76" s="701">
        <v>70.453999999999994</v>
      </c>
      <c r="G76" s="701">
        <v>34.008000000000003</v>
      </c>
      <c r="H76" s="702">
        <f>G76/F76</f>
        <v>0.48269793056462379</v>
      </c>
      <c r="I76" s="701">
        <v>76.453999999999994</v>
      </c>
      <c r="J76" s="1701" t="s">
        <v>2284</v>
      </c>
      <c r="K76" s="1699" t="s">
        <v>2969</v>
      </c>
      <c r="L76" s="1646" t="s">
        <v>3419</v>
      </c>
      <c r="M76" s="1646" t="s">
        <v>1706</v>
      </c>
      <c r="N76" s="1646" t="s">
        <v>469</v>
      </c>
      <c r="O76" s="1646" t="s">
        <v>469</v>
      </c>
      <c r="P76" s="1646" t="s">
        <v>469</v>
      </c>
      <c r="Q76" s="1646" t="s">
        <v>613</v>
      </c>
      <c r="R76" s="1646" t="s">
        <v>613</v>
      </c>
      <c r="S76" s="1646" t="s">
        <v>2285</v>
      </c>
      <c r="T76" s="657"/>
      <c r="U76" s="1735" t="s">
        <v>3548</v>
      </c>
      <c r="V76" s="368"/>
      <c r="W76" s="368"/>
    </row>
    <row r="77" spans="1:23" ht="24.75" customHeight="1">
      <c r="A77" s="1803"/>
      <c r="B77" s="1890"/>
      <c r="C77" s="1839"/>
      <c r="D77" s="1136" t="s">
        <v>587</v>
      </c>
      <c r="E77" s="798">
        <v>429.791</v>
      </c>
      <c r="F77" s="798"/>
      <c r="G77" s="798"/>
      <c r="H77" s="702"/>
      <c r="I77" s="798"/>
      <c r="J77" s="1882"/>
      <c r="K77" s="2210"/>
      <c r="L77" s="1646"/>
      <c r="M77" s="1646"/>
      <c r="N77" s="1646"/>
      <c r="O77" s="1646"/>
      <c r="P77" s="1646"/>
      <c r="Q77" s="1646"/>
      <c r="R77" s="1646"/>
      <c r="S77" s="1646"/>
      <c r="T77" s="657"/>
      <c r="U77" s="1735"/>
      <c r="V77" s="368"/>
      <c r="W77" s="368"/>
    </row>
    <row r="78" spans="1:23" ht="21" customHeight="1">
      <c r="A78" s="1803"/>
      <c r="B78" s="1890"/>
      <c r="C78" s="1839"/>
      <c r="D78" s="1136" t="s">
        <v>1554</v>
      </c>
      <c r="E78" s="798">
        <v>157.74199999999999</v>
      </c>
      <c r="F78" s="798">
        <v>157.74199999999999</v>
      </c>
      <c r="G78" s="798">
        <v>131.298</v>
      </c>
      <c r="H78" s="702">
        <f t="shared" ref="H78:H79" si="36">G78/F78</f>
        <v>0.8323591687692562</v>
      </c>
      <c r="I78" s="798">
        <v>25.459</v>
      </c>
      <c r="J78" s="1882"/>
      <c r="K78" s="2210"/>
      <c r="L78" s="1646"/>
      <c r="M78" s="1646"/>
      <c r="N78" s="1646"/>
      <c r="O78" s="1646"/>
      <c r="P78" s="1646"/>
      <c r="Q78" s="1646"/>
      <c r="R78" s="1646"/>
      <c r="S78" s="1646"/>
      <c r="T78" s="657"/>
      <c r="U78" s="1735"/>
      <c r="V78" s="368"/>
      <c r="W78" s="368"/>
    </row>
    <row r="79" spans="1:23" ht="23.25" customHeight="1">
      <c r="A79" s="1803"/>
      <c r="B79" s="1890"/>
      <c r="C79" s="1839"/>
      <c r="D79" s="1136" t="s">
        <v>341</v>
      </c>
      <c r="E79" s="798">
        <v>207.09</v>
      </c>
      <c r="F79" s="798">
        <v>510.154</v>
      </c>
      <c r="G79" s="798">
        <v>474.57</v>
      </c>
      <c r="H79" s="702">
        <f t="shared" si="36"/>
        <v>0.9302485131940551</v>
      </c>
      <c r="I79" s="798">
        <v>25.507999999999999</v>
      </c>
      <c r="J79" s="1882"/>
      <c r="K79" s="2210"/>
      <c r="L79" s="1646"/>
      <c r="M79" s="1646"/>
      <c r="N79" s="1646"/>
      <c r="O79" s="1646"/>
      <c r="P79" s="1646"/>
      <c r="Q79" s="1646"/>
      <c r="R79" s="1646"/>
      <c r="S79" s="1646"/>
      <c r="T79" s="657"/>
      <c r="U79" s="1735"/>
      <c r="V79" s="368"/>
      <c r="W79" s="368"/>
    </row>
    <row r="80" spans="1:23" ht="31.5" customHeight="1">
      <c r="A80" s="1843"/>
      <c r="B80" s="1890"/>
      <c r="C80" s="2042"/>
      <c r="D80" s="730" t="s">
        <v>1321</v>
      </c>
      <c r="E80" s="731">
        <f>SUM(E76:E79)</f>
        <v>795.62300000000005</v>
      </c>
      <c r="F80" s="731">
        <f t="shared" ref="F80:G80" si="37">SUM(F76:F79)</f>
        <v>738.34999999999991</v>
      </c>
      <c r="G80" s="731">
        <f t="shared" si="37"/>
        <v>639.87599999999998</v>
      </c>
      <c r="H80" s="707">
        <f t="shared" ref="H80" si="38">G80/F80</f>
        <v>0.86662964718629387</v>
      </c>
      <c r="I80" s="731">
        <f>SUM(I76:I79)</f>
        <v>127.42099999999999</v>
      </c>
      <c r="J80" s="1702"/>
      <c r="K80" s="1931"/>
      <c r="L80" s="1646"/>
      <c r="M80" s="1646"/>
      <c r="N80" s="1646"/>
      <c r="O80" s="1646"/>
      <c r="P80" s="1646"/>
      <c r="Q80" s="1646"/>
      <c r="R80" s="1646"/>
      <c r="S80" s="1646"/>
      <c r="T80" s="657"/>
      <c r="U80" s="1735"/>
      <c r="V80" s="368"/>
      <c r="W80" s="368"/>
    </row>
    <row r="81" spans="1:23" ht="53.25" customHeight="1">
      <c r="A81" s="496" t="s">
        <v>2191</v>
      </c>
      <c r="B81" s="496" t="s">
        <v>1506</v>
      </c>
      <c r="C81" s="501"/>
      <c r="D81" s="501"/>
      <c r="E81" s="691">
        <f>SUM(E83,E85,E87,E89,E98,E106)</f>
        <v>4076.2029999999995</v>
      </c>
      <c r="F81" s="691">
        <f t="shared" ref="F81:G81" si="39">SUM(F83,F85,F87,F89,F98,F106)</f>
        <v>4229.4059999999999</v>
      </c>
      <c r="G81" s="691">
        <f t="shared" si="39"/>
        <v>4220.3719999999994</v>
      </c>
      <c r="H81" s="692">
        <f>G81/F81</f>
        <v>0.99786400265190889</v>
      </c>
      <c r="I81" s="691">
        <f t="shared" ref="I81" si="40">SUM(I83,I85,I87,I89,I98,I106)</f>
        <v>164.05</v>
      </c>
      <c r="J81" s="496" t="s">
        <v>1241</v>
      </c>
      <c r="K81" s="2174"/>
      <c r="L81" s="2174"/>
      <c r="M81" s="2174"/>
      <c r="N81" s="2174"/>
      <c r="O81" s="2174"/>
      <c r="P81" s="2174"/>
      <c r="Q81" s="2174"/>
      <c r="R81" s="2174"/>
      <c r="S81" s="2174"/>
      <c r="T81" s="2174"/>
      <c r="U81" s="2174"/>
      <c r="V81" s="368"/>
      <c r="W81" s="368"/>
    </row>
    <row r="82" spans="1:23" ht="42" hidden="1" customHeight="1">
      <c r="A82" s="2200" t="s">
        <v>2158</v>
      </c>
      <c r="B82" s="2207" t="s">
        <v>1507</v>
      </c>
      <c r="C82" s="2205">
        <v>188711925</v>
      </c>
      <c r="D82" s="1404" t="s">
        <v>668</v>
      </c>
      <c r="E82" s="1405">
        <v>0</v>
      </c>
      <c r="F82" s="1405"/>
      <c r="G82" s="1405"/>
      <c r="H82" s="1405"/>
      <c r="I82" s="1406"/>
      <c r="J82" s="2208"/>
      <c r="K82" s="2206" t="s">
        <v>2383</v>
      </c>
      <c r="L82" s="2185" t="s">
        <v>1733</v>
      </c>
      <c r="M82" s="2185"/>
      <c r="N82" s="529"/>
      <c r="O82" s="529"/>
      <c r="P82" s="2185"/>
      <c r="Q82" s="2185"/>
      <c r="R82" s="2185"/>
      <c r="S82" s="2189"/>
      <c r="T82" s="1200"/>
      <c r="U82" s="1209"/>
      <c r="V82" s="368"/>
      <c r="W82" s="368"/>
    </row>
    <row r="83" spans="1:23" ht="42" hidden="1" customHeight="1">
      <c r="A83" s="2200"/>
      <c r="B83" s="2201">
        <f>SUM(B82:B82)</f>
        <v>0</v>
      </c>
      <c r="C83" s="2202">
        <f>SUM(C82:C82)</f>
        <v>188711925</v>
      </c>
      <c r="D83" s="1407" t="s">
        <v>1321</v>
      </c>
      <c r="E83" s="1408">
        <f>E82</f>
        <v>0</v>
      </c>
      <c r="F83" s="1408"/>
      <c r="G83" s="1408"/>
      <c r="H83" s="1408"/>
      <c r="I83" s="1409">
        <f t="shared" ref="I83" si="41">I82</f>
        <v>0</v>
      </c>
      <c r="J83" s="2209"/>
      <c r="K83" s="2204"/>
      <c r="L83" s="2185"/>
      <c r="M83" s="2185"/>
      <c r="N83" s="529"/>
      <c r="O83" s="529"/>
      <c r="P83" s="2185"/>
      <c r="Q83" s="2185"/>
      <c r="R83" s="2185"/>
      <c r="S83" s="2190"/>
      <c r="T83" s="1200"/>
      <c r="U83" s="1189"/>
      <c r="V83" s="368"/>
      <c r="W83" s="368"/>
    </row>
    <row r="84" spans="1:23" ht="42" hidden="1" customHeight="1">
      <c r="A84" s="2200" t="s">
        <v>2159</v>
      </c>
      <c r="B84" s="2201" t="s">
        <v>1508</v>
      </c>
      <c r="C84" s="2202">
        <v>188711925</v>
      </c>
      <c r="D84" s="1410" t="s">
        <v>668</v>
      </c>
      <c r="E84" s="1408">
        <v>0</v>
      </c>
      <c r="F84" s="1408"/>
      <c r="G84" s="1408"/>
      <c r="H84" s="1408"/>
      <c r="I84" s="1409"/>
      <c r="J84" s="1411"/>
      <c r="K84" s="2203" t="s">
        <v>2487</v>
      </c>
      <c r="L84" s="2186" t="s">
        <v>1734</v>
      </c>
      <c r="M84" s="2186"/>
      <c r="N84" s="528"/>
      <c r="O84" s="528"/>
      <c r="P84" s="2186"/>
      <c r="Q84" s="2186"/>
      <c r="R84" s="2186"/>
      <c r="S84" s="2191"/>
      <c r="T84" s="1200"/>
      <c r="U84" s="1189"/>
      <c r="V84" s="368"/>
      <c r="W84" s="368"/>
    </row>
    <row r="85" spans="1:23" ht="42" hidden="1" customHeight="1">
      <c r="A85" s="2200"/>
      <c r="B85" s="2201">
        <f>SUM(B84:B84)</f>
        <v>0</v>
      </c>
      <c r="C85" s="2202">
        <f>SUM(C84:C84)</f>
        <v>188711925</v>
      </c>
      <c r="D85" s="1407" t="s">
        <v>1321</v>
      </c>
      <c r="E85" s="1408">
        <f>E84</f>
        <v>0</v>
      </c>
      <c r="F85" s="1408"/>
      <c r="G85" s="1408"/>
      <c r="H85" s="1408"/>
      <c r="I85" s="1409">
        <f t="shared" ref="I85" si="42">I84</f>
        <v>0</v>
      </c>
      <c r="J85" s="1406"/>
      <c r="K85" s="2204"/>
      <c r="L85" s="2185"/>
      <c r="M85" s="2185"/>
      <c r="N85" s="529"/>
      <c r="O85" s="529"/>
      <c r="P85" s="2185"/>
      <c r="Q85" s="2185"/>
      <c r="R85" s="2185"/>
      <c r="S85" s="2190"/>
      <c r="T85" s="1200"/>
      <c r="U85" s="1189"/>
      <c r="V85" s="368"/>
      <c r="W85" s="368"/>
    </row>
    <row r="86" spans="1:23" ht="42" customHeight="1">
      <c r="A86" s="1803" t="s">
        <v>2160</v>
      </c>
      <c r="B86" s="1791" t="s">
        <v>1703</v>
      </c>
      <c r="C86" s="1826">
        <v>188711925</v>
      </c>
      <c r="D86" s="724" t="s">
        <v>668</v>
      </c>
      <c r="E86" s="701">
        <v>12</v>
      </c>
      <c r="F86" s="701">
        <v>12.59</v>
      </c>
      <c r="G86" s="701">
        <v>12.59</v>
      </c>
      <c r="H86" s="702">
        <f>G86/F86</f>
        <v>1</v>
      </c>
      <c r="I86" s="701">
        <v>80</v>
      </c>
      <c r="J86" s="1701" t="s">
        <v>2287</v>
      </c>
      <c r="K86" s="1699" t="s">
        <v>3817</v>
      </c>
      <c r="L86" s="1646" t="s">
        <v>41</v>
      </c>
      <c r="M86" s="1646" t="s">
        <v>1707</v>
      </c>
      <c r="N86" s="1646" t="s">
        <v>3013</v>
      </c>
      <c r="O86" s="1646" t="s">
        <v>3013</v>
      </c>
      <c r="P86" s="1646" t="s">
        <v>469</v>
      </c>
      <c r="Q86" s="1646" t="s">
        <v>469</v>
      </c>
      <c r="R86" s="1646" t="s">
        <v>469</v>
      </c>
      <c r="S86" s="1646" t="s">
        <v>2286</v>
      </c>
      <c r="T86" s="657"/>
      <c r="U86" s="1735" t="s">
        <v>3548</v>
      </c>
      <c r="V86" s="368"/>
      <c r="W86" s="368"/>
    </row>
    <row r="87" spans="1:23" ht="45" customHeight="1">
      <c r="A87" s="1765"/>
      <c r="B87" s="1836">
        <f>SUM(B86:B86)</f>
        <v>0</v>
      </c>
      <c r="C87" s="1839">
        <f>SUM(C86:C86)</f>
        <v>188711925</v>
      </c>
      <c r="D87" s="730" t="s">
        <v>1321</v>
      </c>
      <c r="E87" s="731">
        <f>E86</f>
        <v>12</v>
      </c>
      <c r="F87" s="731">
        <f t="shared" ref="F87:H87" si="43">F86</f>
        <v>12.59</v>
      </c>
      <c r="G87" s="731">
        <f t="shared" si="43"/>
        <v>12.59</v>
      </c>
      <c r="H87" s="746">
        <f t="shared" si="43"/>
        <v>1</v>
      </c>
      <c r="I87" s="731">
        <f t="shared" ref="I87" si="44">I86</f>
        <v>80</v>
      </c>
      <c r="J87" s="1702"/>
      <c r="K87" s="1700"/>
      <c r="L87" s="1646"/>
      <c r="M87" s="1646"/>
      <c r="N87" s="1646"/>
      <c r="O87" s="1646"/>
      <c r="P87" s="1646"/>
      <c r="Q87" s="1646"/>
      <c r="R87" s="1646"/>
      <c r="S87" s="1646"/>
      <c r="T87" s="657"/>
      <c r="U87" s="1735"/>
      <c r="V87" s="368"/>
      <c r="W87" s="368"/>
    </row>
    <row r="88" spans="1:23" s="503" customFormat="1" ht="42" hidden="1" customHeight="1">
      <c r="A88" s="2240" t="s">
        <v>2161</v>
      </c>
      <c r="B88" s="2216" t="s">
        <v>1509</v>
      </c>
      <c r="C88" s="2243">
        <v>188711925</v>
      </c>
      <c r="D88" s="1412" t="s">
        <v>668</v>
      </c>
      <c r="E88" s="843">
        <f>SUM(E90,E93)</f>
        <v>0</v>
      </c>
      <c r="F88" s="843"/>
      <c r="G88" s="843"/>
      <c r="H88" s="843"/>
      <c r="I88" s="1285">
        <f t="shared" ref="I88" si="45">SUM(I90,I93)</f>
        <v>0</v>
      </c>
      <c r="J88" s="1413" t="s">
        <v>2284</v>
      </c>
      <c r="K88" s="2218" t="s">
        <v>2848</v>
      </c>
      <c r="L88" s="1926" t="s">
        <v>1735</v>
      </c>
      <c r="M88" s="1926" t="s">
        <v>482</v>
      </c>
      <c r="N88" s="821"/>
      <c r="O88" s="821"/>
      <c r="P88" s="1926" t="s">
        <v>613</v>
      </c>
      <c r="Q88" s="1926" t="s">
        <v>613</v>
      </c>
      <c r="R88" s="1926" t="s">
        <v>612</v>
      </c>
      <c r="S88" s="1926" t="s">
        <v>2285</v>
      </c>
      <c r="T88" s="826"/>
      <c r="U88" s="826"/>
    </row>
    <row r="89" spans="1:23" s="503" customFormat="1" ht="42" hidden="1" customHeight="1">
      <c r="A89" s="2241"/>
      <c r="B89" s="2217">
        <f>SUM(B88:B88)</f>
        <v>0</v>
      </c>
      <c r="C89" s="2244">
        <f>SUM(C88:C88)</f>
        <v>188711925</v>
      </c>
      <c r="D89" s="1414" t="s">
        <v>1321</v>
      </c>
      <c r="E89" s="1415">
        <f>E88</f>
        <v>0</v>
      </c>
      <c r="F89" s="1415"/>
      <c r="G89" s="1415"/>
      <c r="H89" s="1415"/>
      <c r="I89" s="1415">
        <f t="shared" ref="I89" si="46">I88</f>
        <v>0</v>
      </c>
      <c r="J89" s="1416"/>
      <c r="K89" s="2219"/>
      <c r="L89" s="1926"/>
      <c r="M89" s="1926"/>
      <c r="N89" s="821"/>
      <c r="O89" s="821"/>
      <c r="P89" s="1926"/>
      <c r="Q89" s="1926"/>
      <c r="R89" s="1926"/>
      <c r="S89" s="1926"/>
      <c r="T89" s="826"/>
      <c r="U89" s="826"/>
    </row>
    <row r="90" spans="1:23" s="500" customFormat="1" ht="24.65" hidden="1" customHeight="1">
      <c r="A90" s="2236"/>
      <c r="B90" s="1897" t="s">
        <v>2844</v>
      </c>
      <c r="C90" s="2237">
        <v>188711925</v>
      </c>
      <c r="D90" s="720" t="s">
        <v>668</v>
      </c>
      <c r="E90" s="974"/>
      <c r="F90" s="974"/>
      <c r="G90" s="974"/>
      <c r="H90" s="974"/>
      <c r="I90" s="719"/>
      <c r="J90" s="2230"/>
      <c r="K90" s="1759"/>
      <c r="L90" s="1929"/>
      <c r="M90" s="1929"/>
      <c r="N90" s="483"/>
      <c r="O90" s="483"/>
      <c r="P90" s="1929"/>
      <c r="Q90" s="1929"/>
      <c r="R90" s="1929"/>
      <c r="S90" s="1929"/>
      <c r="T90" s="844"/>
      <c r="U90" s="844"/>
    </row>
    <row r="91" spans="1:23" s="500" customFormat="1" ht="24.65" hidden="1" customHeight="1">
      <c r="A91" s="2236"/>
      <c r="B91" s="1897"/>
      <c r="C91" s="2237"/>
      <c r="D91" s="720"/>
      <c r="E91" s="974"/>
      <c r="F91" s="974"/>
      <c r="G91" s="974"/>
      <c r="H91" s="974"/>
      <c r="I91" s="719"/>
      <c r="J91" s="2231"/>
      <c r="K91" s="1759"/>
      <c r="L91" s="1929"/>
      <c r="M91" s="1929"/>
      <c r="N91" s="483"/>
      <c r="O91" s="483"/>
      <c r="P91" s="1929"/>
      <c r="Q91" s="1929"/>
      <c r="R91" s="1929"/>
      <c r="S91" s="1929"/>
      <c r="T91" s="844"/>
      <c r="U91" s="844"/>
    </row>
    <row r="92" spans="1:23" s="500" customFormat="1" ht="24.65" hidden="1" customHeight="1">
      <c r="A92" s="2236"/>
      <c r="B92" s="1897"/>
      <c r="C92" s="2237">
        <f>SUM(C90:C90)</f>
        <v>188711925</v>
      </c>
      <c r="D92" s="770" t="s">
        <v>1321</v>
      </c>
      <c r="E92" s="974">
        <f>SUM(E90:E91)</f>
        <v>0</v>
      </c>
      <c r="F92" s="974"/>
      <c r="G92" s="974"/>
      <c r="H92" s="974"/>
      <c r="I92" s="719">
        <f t="shared" ref="I92" si="47">SUM(I90:I91)</f>
        <v>0</v>
      </c>
      <c r="J92" s="2232"/>
      <c r="K92" s="1760"/>
      <c r="L92" s="1929"/>
      <c r="M92" s="1929"/>
      <c r="N92" s="483"/>
      <c r="O92" s="483"/>
      <c r="P92" s="1929"/>
      <c r="Q92" s="1929"/>
      <c r="R92" s="1929"/>
      <c r="S92" s="1929"/>
      <c r="T92" s="844"/>
      <c r="U92" s="844"/>
    </row>
    <row r="93" spans="1:23" s="500" customFormat="1" ht="24.65" hidden="1" customHeight="1">
      <c r="A93" s="2236"/>
      <c r="B93" s="1897" t="s">
        <v>2845</v>
      </c>
      <c r="C93" s="2237">
        <v>188711925</v>
      </c>
      <c r="D93" s="720" t="s">
        <v>668</v>
      </c>
      <c r="E93" s="974"/>
      <c r="F93" s="974"/>
      <c r="G93" s="974"/>
      <c r="H93" s="974"/>
      <c r="I93" s="719"/>
      <c r="J93" s="2230"/>
      <c r="K93" s="1759"/>
      <c r="L93" s="1929"/>
      <c r="M93" s="1929"/>
      <c r="N93" s="483"/>
      <c r="O93" s="483"/>
      <c r="P93" s="1929"/>
      <c r="Q93" s="1929"/>
      <c r="R93" s="1929"/>
      <c r="S93" s="1929"/>
      <c r="T93" s="844"/>
      <c r="U93" s="844"/>
    </row>
    <row r="94" spans="1:23" s="500" customFormat="1" ht="24.65" hidden="1" customHeight="1">
      <c r="A94" s="2236"/>
      <c r="B94" s="1897"/>
      <c r="C94" s="2237"/>
      <c r="D94" s="720"/>
      <c r="E94" s="974"/>
      <c r="F94" s="974"/>
      <c r="G94" s="974"/>
      <c r="H94" s="974"/>
      <c r="I94" s="719"/>
      <c r="J94" s="2231"/>
      <c r="K94" s="1759"/>
      <c r="L94" s="1929"/>
      <c r="M94" s="1929"/>
      <c r="N94" s="483"/>
      <c r="O94" s="483"/>
      <c r="P94" s="1929"/>
      <c r="Q94" s="1929"/>
      <c r="R94" s="1929"/>
      <c r="S94" s="1929"/>
      <c r="T94" s="844"/>
      <c r="U94" s="844"/>
    </row>
    <row r="95" spans="1:23" s="500" customFormat="1" ht="24.65" hidden="1" customHeight="1">
      <c r="A95" s="2236"/>
      <c r="B95" s="1897"/>
      <c r="C95" s="2237">
        <f>SUM(C93:C93)</f>
        <v>188711925</v>
      </c>
      <c r="D95" s="770" t="s">
        <v>1321</v>
      </c>
      <c r="E95" s="974">
        <f>SUM(E93:E94)</f>
        <v>0</v>
      </c>
      <c r="F95" s="974"/>
      <c r="G95" s="974"/>
      <c r="H95" s="974"/>
      <c r="I95" s="719">
        <f t="shared" ref="I95" si="48">SUM(I93:I94)</f>
        <v>0</v>
      </c>
      <c r="J95" s="2232"/>
      <c r="K95" s="1760"/>
      <c r="L95" s="1929"/>
      <c r="M95" s="1929"/>
      <c r="N95" s="483"/>
      <c r="O95" s="483"/>
      <c r="P95" s="1929"/>
      <c r="Q95" s="1929"/>
      <c r="R95" s="1929"/>
      <c r="S95" s="1929"/>
      <c r="T95" s="844"/>
      <c r="U95" s="844"/>
    </row>
    <row r="96" spans="1:23" ht="33.65" customHeight="1">
      <c r="A96" s="1816" t="s">
        <v>2162</v>
      </c>
      <c r="B96" s="1691" t="s">
        <v>1510</v>
      </c>
      <c r="C96" s="1696" t="s">
        <v>2970</v>
      </c>
      <c r="D96" s="657" t="s">
        <v>668</v>
      </c>
      <c r="E96" s="701">
        <v>164.7</v>
      </c>
      <c r="F96" s="701">
        <v>164.7</v>
      </c>
      <c r="G96" s="701">
        <v>163.03399999999999</v>
      </c>
      <c r="H96" s="702">
        <f>G96/F96</f>
        <v>0.98988463873709776</v>
      </c>
      <c r="I96" s="701">
        <v>68.5</v>
      </c>
      <c r="J96" s="1701" t="s">
        <v>2288</v>
      </c>
      <c r="K96" s="1699" t="s">
        <v>3815</v>
      </c>
      <c r="L96" s="1646" t="s">
        <v>3420</v>
      </c>
      <c r="M96" s="1646" t="s">
        <v>2972</v>
      </c>
      <c r="N96" s="1646" t="s">
        <v>2971</v>
      </c>
      <c r="O96" s="1646" t="s">
        <v>2971</v>
      </c>
      <c r="P96" s="1646" t="s">
        <v>1531</v>
      </c>
      <c r="Q96" s="1646" t="s">
        <v>1568</v>
      </c>
      <c r="R96" s="1646" t="s">
        <v>1568</v>
      </c>
      <c r="S96" s="1646" t="s">
        <v>2488</v>
      </c>
      <c r="T96" s="657"/>
      <c r="U96" s="1735" t="s">
        <v>3548</v>
      </c>
      <c r="V96" s="368"/>
      <c r="W96" s="368"/>
    </row>
    <row r="97" spans="1:23" ht="32.5" customHeight="1">
      <c r="A97" s="1816"/>
      <c r="B97" s="1691"/>
      <c r="C97" s="1696"/>
      <c r="D97" s="657" t="s">
        <v>1549</v>
      </c>
      <c r="E97" s="701">
        <v>4</v>
      </c>
      <c r="F97" s="701">
        <v>4</v>
      </c>
      <c r="G97" s="701">
        <v>4</v>
      </c>
      <c r="H97" s="702">
        <f>G97/F97</f>
        <v>1</v>
      </c>
      <c r="I97" s="701">
        <f>I100+I99</f>
        <v>9.5</v>
      </c>
      <c r="J97" s="1882"/>
      <c r="K97" s="1699"/>
      <c r="L97" s="1646"/>
      <c r="M97" s="1646"/>
      <c r="N97" s="1646"/>
      <c r="O97" s="1646"/>
      <c r="P97" s="1646"/>
      <c r="Q97" s="1646"/>
      <c r="R97" s="1646"/>
      <c r="S97" s="1646"/>
      <c r="T97" s="657"/>
      <c r="U97" s="1735"/>
      <c r="V97" s="368"/>
      <c r="W97" s="368"/>
    </row>
    <row r="98" spans="1:23" ht="62.25" customHeight="1">
      <c r="A98" s="1816"/>
      <c r="B98" s="1691"/>
      <c r="C98" s="1696">
        <f>SUM(C96:C96)</f>
        <v>0</v>
      </c>
      <c r="D98" s="705" t="s">
        <v>1321</v>
      </c>
      <c r="E98" s="706">
        <f>SUM(E96:E97)</f>
        <v>168.7</v>
      </c>
      <c r="F98" s="706">
        <f t="shared" ref="F98:G98" si="49">SUM(F96:F97)</f>
        <v>168.7</v>
      </c>
      <c r="G98" s="706">
        <f t="shared" si="49"/>
        <v>167.03399999999999</v>
      </c>
      <c r="H98" s="707">
        <f>G98/F98</f>
        <v>0.99012448132780084</v>
      </c>
      <c r="I98" s="706">
        <f t="shared" ref="I98" si="50">SUM(I96:I97)</f>
        <v>78</v>
      </c>
      <c r="J98" s="1702"/>
      <c r="K98" s="1700"/>
      <c r="L98" s="1646"/>
      <c r="M98" s="1646"/>
      <c r="N98" s="1646"/>
      <c r="O98" s="1646"/>
      <c r="P98" s="1646"/>
      <c r="Q98" s="1646"/>
      <c r="R98" s="1646"/>
      <c r="S98" s="1646"/>
      <c r="T98" s="657"/>
      <c r="U98" s="1735"/>
      <c r="V98" s="368"/>
      <c r="W98" s="368"/>
    </row>
    <row r="99" spans="1:23" ht="28.5" hidden="1" customHeight="1">
      <c r="A99" s="613"/>
      <c r="B99" s="804" t="s">
        <v>2883</v>
      </c>
      <c r="C99" s="878"/>
      <c r="D99" s="911" t="s">
        <v>1549</v>
      </c>
      <c r="E99" s="541"/>
      <c r="F99" s="537">
        <v>4</v>
      </c>
      <c r="G99" s="537">
        <v>4</v>
      </c>
      <c r="H99" s="1096"/>
      <c r="I99" s="537">
        <v>5.6</v>
      </c>
      <c r="J99" s="1417"/>
      <c r="K99" s="1550"/>
      <c r="L99" s="615"/>
      <c r="M99" s="615"/>
      <c r="N99" s="615"/>
      <c r="O99" s="615"/>
      <c r="P99" s="485"/>
      <c r="Q99" s="485"/>
      <c r="R99" s="484"/>
      <c r="S99" s="485"/>
      <c r="T99" s="1200"/>
      <c r="U99" s="1187"/>
      <c r="V99" s="368"/>
      <c r="W99" s="368"/>
    </row>
    <row r="100" spans="1:23" ht="42" hidden="1" customHeight="1">
      <c r="A100" s="504"/>
      <c r="B100" s="641" t="s">
        <v>1664</v>
      </c>
      <c r="C100" s="794"/>
      <c r="D100" s="720" t="s">
        <v>1549</v>
      </c>
      <c r="E100" s="534"/>
      <c r="F100" s="534"/>
      <c r="G100" s="534"/>
      <c r="H100" s="534"/>
      <c r="I100" s="464">
        <v>3.9</v>
      </c>
      <c r="J100" s="1196"/>
      <c r="K100" s="1541"/>
      <c r="L100" s="485"/>
      <c r="M100" s="485"/>
      <c r="N100" s="485"/>
      <c r="O100" s="485"/>
      <c r="P100" s="485"/>
      <c r="Q100" s="485"/>
      <c r="R100" s="484"/>
      <c r="S100" s="485"/>
      <c r="T100" s="1200"/>
      <c r="U100" s="1189"/>
      <c r="V100" s="368"/>
      <c r="W100" s="368"/>
    </row>
    <row r="101" spans="1:23" ht="25.2" customHeight="1">
      <c r="A101" s="1816" t="s">
        <v>2163</v>
      </c>
      <c r="B101" s="1691" t="s">
        <v>3814</v>
      </c>
      <c r="C101" s="1696">
        <v>188711925</v>
      </c>
      <c r="D101" s="657" t="s">
        <v>66</v>
      </c>
      <c r="E101" s="701">
        <v>1132.616</v>
      </c>
      <c r="F101" s="701">
        <v>1087.616</v>
      </c>
      <c r="G101" s="701">
        <v>286.29899999999998</v>
      </c>
      <c r="H101" s="702">
        <f>G101/F101</f>
        <v>0.26323536983641282</v>
      </c>
      <c r="I101" s="701">
        <v>6.05</v>
      </c>
      <c r="J101" s="1701" t="s">
        <v>2275</v>
      </c>
      <c r="K101" s="1699" t="s">
        <v>3816</v>
      </c>
      <c r="L101" s="1646" t="s">
        <v>3421</v>
      </c>
      <c r="M101" s="1646" t="s">
        <v>1708</v>
      </c>
      <c r="N101" s="1646" t="s">
        <v>613</v>
      </c>
      <c r="O101" s="1646" t="s">
        <v>469</v>
      </c>
      <c r="P101" s="1646" t="s">
        <v>469</v>
      </c>
      <c r="Q101" s="1646">
        <v>0</v>
      </c>
      <c r="R101" s="1646">
        <v>0</v>
      </c>
      <c r="S101" s="1646" t="s">
        <v>2276</v>
      </c>
      <c r="T101" s="657"/>
      <c r="U101" s="1735" t="s">
        <v>3548</v>
      </c>
      <c r="V101" s="368"/>
      <c r="W101" s="368"/>
    </row>
    <row r="102" spans="1:23" ht="25.2" customHeight="1">
      <c r="A102" s="1816"/>
      <c r="B102" s="1691"/>
      <c r="C102" s="1696"/>
      <c r="D102" s="657" t="s">
        <v>587</v>
      </c>
      <c r="E102" s="701">
        <v>126.94799999999999</v>
      </c>
      <c r="F102" s="701"/>
      <c r="G102" s="701"/>
      <c r="H102" s="702"/>
      <c r="I102" s="701"/>
      <c r="J102" s="1882"/>
      <c r="K102" s="1699"/>
      <c r="L102" s="1646"/>
      <c r="M102" s="1646"/>
      <c r="N102" s="1646"/>
      <c r="O102" s="1646"/>
      <c r="P102" s="1646"/>
      <c r="Q102" s="1646"/>
      <c r="R102" s="1646"/>
      <c r="S102" s="1646"/>
      <c r="T102" s="657"/>
      <c r="U102" s="1735"/>
      <c r="V102" s="368"/>
      <c r="W102" s="368"/>
    </row>
    <row r="103" spans="1:23" ht="25.95" hidden="1" customHeight="1">
      <c r="A103" s="1816"/>
      <c r="B103" s="1691"/>
      <c r="C103" s="1696"/>
      <c r="D103" s="657" t="s">
        <v>1349</v>
      </c>
      <c r="E103" s="701"/>
      <c r="F103" s="701"/>
      <c r="G103" s="701"/>
      <c r="H103" s="702"/>
      <c r="I103" s="701"/>
      <c r="J103" s="1882"/>
      <c r="K103" s="1699"/>
      <c r="L103" s="1646"/>
      <c r="M103" s="1646"/>
      <c r="N103" s="1646"/>
      <c r="O103" s="1646"/>
      <c r="P103" s="1646"/>
      <c r="Q103" s="1646"/>
      <c r="R103" s="1646"/>
      <c r="S103" s="1646"/>
      <c r="T103" s="657"/>
      <c r="U103" s="1735"/>
      <c r="V103" s="368"/>
      <c r="W103" s="368"/>
    </row>
    <row r="104" spans="1:23" ht="24.65" customHeight="1">
      <c r="A104" s="1816"/>
      <c r="B104" s="1691"/>
      <c r="C104" s="1696"/>
      <c r="D104" s="657" t="s">
        <v>341</v>
      </c>
      <c r="E104" s="701">
        <v>1565.6859999999999</v>
      </c>
      <c r="F104" s="701">
        <v>1890.2470000000001</v>
      </c>
      <c r="G104" s="701">
        <v>2684.1959999999999</v>
      </c>
      <c r="H104" s="702">
        <f t="shared" ref="H104:H105" si="51">G104/F104</f>
        <v>1.4200239439607627</v>
      </c>
      <c r="I104" s="701"/>
      <c r="J104" s="1882"/>
      <c r="K104" s="1699"/>
      <c r="L104" s="1646"/>
      <c r="M104" s="1646"/>
      <c r="N104" s="1646"/>
      <c r="O104" s="1646"/>
      <c r="P104" s="1646"/>
      <c r="Q104" s="1646"/>
      <c r="R104" s="1646"/>
      <c r="S104" s="1646"/>
      <c r="T104" s="657"/>
      <c r="U104" s="1735"/>
      <c r="V104" s="368"/>
      <c r="W104" s="368"/>
    </row>
    <row r="105" spans="1:23" ht="24.65" customHeight="1">
      <c r="A105" s="1816"/>
      <c r="B105" s="1691"/>
      <c r="C105" s="1696"/>
      <c r="D105" s="657" t="s">
        <v>1554</v>
      </c>
      <c r="E105" s="701">
        <v>1070.2529999999999</v>
      </c>
      <c r="F105" s="701">
        <v>1070.2529999999999</v>
      </c>
      <c r="G105" s="701">
        <v>1070.2529999999999</v>
      </c>
      <c r="H105" s="702">
        <f t="shared" si="51"/>
        <v>1</v>
      </c>
      <c r="I105" s="701"/>
      <c r="J105" s="1882"/>
      <c r="K105" s="1699"/>
      <c r="L105" s="1646"/>
      <c r="M105" s="1646"/>
      <c r="N105" s="1646"/>
      <c r="O105" s="1646"/>
      <c r="P105" s="1646"/>
      <c r="Q105" s="1646"/>
      <c r="R105" s="1646"/>
      <c r="S105" s="1646"/>
      <c r="T105" s="657"/>
      <c r="U105" s="1735"/>
      <c r="V105" s="368"/>
      <c r="W105" s="368"/>
    </row>
    <row r="106" spans="1:23" ht="28.95" customHeight="1">
      <c r="A106" s="1816"/>
      <c r="B106" s="1692"/>
      <c r="C106" s="1696"/>
      <c r="D106" s="705" t="s">
        <v>1321</v>
      </c>
      <c r="E106" s="706">
        <f>SUM(E101:E105)</f>
        <v>3895.5029999999997</v>
      </c>
      <c r="F106" s="706">
        <f t="shared" ref="F106:G106" si="52">SUM(F101:F105)</f>
        <v>4048.116</v>
      </c>
      <c r="G106" s="706">
        <f t="shared" si="52"/>
        <v>4040.7479999999996</v>
      </c>
      <c r="H106" s="707">
        <f>G106/F106</f>
        <v>0.99817989405441931</v>
      </c>
      <c r="I106" s="706">
        <f t="shared" ref="I106" si="53">SUM(I101:I105)</f>
        <v>6.05</v>
      </c>
      <c r="J106" s="1702"/>
      <c r="K106" s="1700"/>
      <c r="L106" s="1646"/>
      <c r="M106" s="1646"/>
      <c r="N106" s="1646"/>
      <c r="O106" s="1646"/>
      <c r="P106" s="1646"/>
      <c r="Q106" s="1646"/>
      <c r="R106" s="1646"/>
      <c r="S106" s="1646"/>
      <c r="T106" s="657"/>
      <c r="U106" s="1735"/>
      <c r="V106" s="368"/>
      <c r="W106" s="368"/>
    </row>
    <row r="107" spans="1:23" ht="42" hidden="1" customHeight="1">
      <c r="A107" s="2242" t="s">
        <v>566</v>
      </c>
      <c r="B107" s="2207" t="s">
        <v>1511</v>
      </c>
      <c r="C107" s="2238">
        <v>188711925</v>
      </c>
      <c r="D107" s="1418" t="s">
        <v>668</v>
      </c>
      <c r="E107" s="1419">
        <v>0</v>
      </c>
      <c r="F107" s="1419"/>
      <c r="G107" s="1419"/>
      <c r="H107" s="1419"/>
      <c r="I107" s="1420"/>
      <c r="J107" s="1421"/>
      <c r="K107" s="2220"/>
      <c r="L107" s="2186" t="s">
        <v>1736</v>
      </c>
      <c r="M107" s="2186"/>
      <c r="N107" s="528"/>
      <c r="O107" s="528"/>
      <c r="P107" s="2196"/>
      <c r="Q107" s="2196"/>
      <c r="R107" s="2196"/>
      <c r="S107" s="2186"/>
      <c r="T107" s="1200"/>
      <c r="U107" s="1189"/>
      <c r="V107" s="368"/>
      <c r="W107" s="368"/>
    </row>
    <row r="108" spans="1:23" ht="42" hidden="1" customHeight="1">
      <c r="A108" s="2200"/>
      <c r="B108" s="2201"/>
      <c r="C108" s="2239"/>
      <c r="D108" s="1422" t="s">
        <v>341</v>
      </c>
      <c r="E108" s="1423"/>
      <c r="F108" s="1423"/>
      <c r="G108" s="1423"/>
      <c r="H108" s="1423"/>
      <c r="I108" s="1424"/>
      <c r="J108" s="1425"/>
      <c r="K108" s="2221"/>
      <c r="L108" s="2185"/>
      <c r="M108" s="2185"/>
      <c r="N108" s="529"/>
      <c r="O108" s="529"/>
      <c r="P108" s="2197"/>
      <c r="Q108" s="2197"/>
      <c r="R108" s="2197"/>
      <c r="S108" s="2185"/>
      <c r="T108" s="1200"/>
      <c r="U108" s="1189"/>
      <c r="V108" s="368"/>
      <c r="W108" s="368"/>
    </row>
    <row r="109" spans="1:23" ht="42" hidden="1" customHeight="1">
      <c r="A109" s="2200"/>
      <c r="B109" s="2201"/>
      <c r="C109" s="2239"/>
      <c r="D109" s="1422" t="s">
        <v>587</v>
      </c>
      <c r="E109" s="1423"/>
      <c r="F109" s="1423"/>
      <c r="G109" s="1423"/>
      <c r="H109" s="1423"/>
      <c r="I109" s="1424"/>
      <c r="J109" s="1425"/>
      <c r="K109" s="2221"/>
      <c r="L109" s="2185"/>
      <c r="M109" s="2185"/>
      <c r="N109" s="529"/>
      <c r="O109" s="529"/>
      <c r="P109" s="2197"/>
      <c r="Q109" s="2197"/>
      <c r="R109" s="2197"/>
      <c r="S109" s="2185"/>
      <c r="T109" s="1200"/>
      <c r="U109" s="1189"/>
      <c r="V109" s="368"/>
      <c r="W109" s="368"/>
    </row>
    <row r="110" spans="1:23" ht="42" hidden="1" customHeight="1">
      <c r="A110" s="2200"/>
      <c r="B110" s="2201"/>
      <c r="C110" s="2239"/>
      <c r="D110" s="1426" t="s">
        <v>1321</v>
      </c>
      <c r="E110" s="1408">
        <f>E107</f>
        <v>0</v>
      </c>
      <c r="F110" s="1408"/>
      <c r="G110" s="1408"/>
      <c r="H110" s="1408"/>
      <c r="I110" s="1409"/>
      <c r="J110" s="1427"/>
      <c r="K110" s="2222"/>
      <c r="L110" s="2195"/>
      <c r="M110" s="2195"/>
      <c r="N110" s="530"/>
      <c r="O110" s="530"/>
      <c r="P110" s="2198"/>
      <c r="Q110" s="2198"/>
      <c r="R110" s="2198"/>
      <c r="S110" s="2195"/>
      <c r="T110" s="1200"/>
      <c r="U110" s="1189"/>
      <c r="V110" s="368"/>
      <c r="W110" s="368"/>
    </row>
    <row r="111" spans="1:23" ht="42" customHeight="1">
      <c r="A111" s="501" t="s">
        <v>2190</v>
      </c>
      <c r="B111" s="496" t="s">
        <v>1512</v>
      </c>
      <c r="C111" s="501"/>
      <c r="D111" s="501"/>
      <c r="E111" s="502">
        <f>SUM(E115,E136)</f>
        <v>182.86600000000001</v>
      </c>
      <c r="F111" s="502">
        <f t="shared" ref="F111:G111" si="54">SUM(F115,F136)</f>
        <v>443.45900000000006</v>
      </c>
      <c r="G111" s="502">
        <f t="shared" si="54"/>
        <v>296.41800000000001</v>
      </c>
      <c r="H111" s="539">
        <f>G111/F111</f>
        <v>0.66842255992098476</v>
      </c>
      <c r="I111" s="502">
        <f t="shared" ref="I111" si="55">SUM(I115,I136)</f>
        <v>15</v>
      </c>
      <c r="J111" s="501"/>
      <c r="K111" s="2175"/>
      <c r="L111" s="2176"/>
      <c r="M111" s="2176"/>
      <c r="N111" s="2176"/>
      <c r="O111" s="2176"/>
      <c r="P111" s="2176"/>
      <c r="Q111" s="2176"/>
      <c r="R111" s="2176"/>
      <c r="S111" s="2176"/>
      <c r="T111" s="2176"/>
      <c r="U111" s="2177"/>
      <c r="V111" s="368"/>
      <c r="W111" s="368"/>
    </row>
    <row r="112" spans="1:23" ht="38.5" customHeight="1">
      <c r="A112" s="1767" t="s">
        <v>2164</v>
      </c>
      <c r="B112" s="2033" t="s">
        <v>1513</v>
      </c>
      <c r="C112" s="1825" t="s">
        <v>1325</v>
      </c>
      <c r="D112" s="657" t="s">
        <v>668</v>
      </c>
      <c r="E112" s="701">
        <v>182.86600000000001</v>
      </c>
      <c r="F112" s="701">
        <f>SUM(F116:F130)</f>
        <v>443.45900000000006</v>
      </c>
      <c r="G112" s="701">
        <f>SUM(G116:G130)</f>
        <v>296.41800000000001</v>
      </c>
      <c r="H112" s="702">
        <f>G112/F112</f>
        <v>0.66842255992098476</v>
      </c>
      <c r="I112" s="701">
        <f>I118</f>
        <v>0</v>
      </c>
      <c r="J112" s="1698"/>
      <c r="K112" s="1640" t="s">
        <v>3818</v>
      </c>
      <c r="L112" s="1637" t="s">
        <v>823</v>
      </c>
      <c r="M112" s="1637" t="s">
        <v>3382</v>
      </c>
      <c r="N112" s="1637" t="s">
        <v>1531</v>
      </c>
      <c r="O112" s="1637" t="s">
        <v>3381</v>
      </c>
      <c r="P112" s="1665">
        <v>98</v>
      </c>
      <c r="Q112" s="1665">
        <v>98</v>
      </c>
      <c r="R112" s="1665">
        <v>98</v>
      </c>
      <c r="S112" s="2178"/>
      <c r="T112" s="1200"/>
      <c r="U112" s="1991" t="s">
        <v>3548</v>
      </c>
      <c r="V112" s="368"/>
      <c r="W112" s="368"/>
    </row>
    <row r="113" spans="1:23" ht="36" hidden="1" customHeight="1">
      <c r="A113" s="1766"/>
      <c r="B113" s="2233"/>
      <c r="C113" s="2235"/>
      <c r="D113" s="657" t="s">
        <v>2751</v>
      </c>
      <c r="E113" s="701"/>
      <c r="F113" s="701"/>
      <c r="G113" s="701"/>
      <c r="H113" s="701"/>
      <c r="I113" s="701">
        <f>SUM(I117,I119,I120,I121,I123,I124,I125,I126,I127,I128,I129,I130,I131,I132,I133,I134,I135,)</f>
        <v>0</v>
      </c>
      <c r="J113" s="1698"/>
      <c r="K113" s="2223"/>
      <c r="L113" s="1638"/>
      <c r="M113" s="1638"/>
      <c r="N113" s="1638"/>
      <c r="O113" s="1638"/>
      <c r="P113" s="1666"/>
      <c r="Q113" s="1666"/>
      <c r="R113" s="1666"/>
      <c r="S113" s="2179"/>
      <c r="T113" s="1200"/>
      <c r="U113" s="1992"/>
      <c r="V113" s="368"/>
      <c r="W113" s="368"/>
    </row>
    <row r="114" spans="1:23" ht="34.200000000000003" hidden="1" customHeight="1">
      <c r="A114" s="1766"/>
      <c r="B114" s="2233"/>
      <c r="C114" s="2235"/>
      <c r="D114" s="657" t="s">
        <v>1549</v>
      </c>
      <c r="E114" s="701"/>
      <c r="F114" s="701"/>
      <c r="G114" s="701"/>
      <c r="H114" s="701"/>
      <c r="I114" s="701">
        <v>5</v>
      </c>
      <c r="J114" s="1698"/>
      <c r="K114" s="2223"/>
      <c r="L114" s="1638"/>
      <c r="M114" s="1638"/>
      <c r="N114" s="1638"/>
      <c r="O114" s="1638"/>
      <c r="P114" s="1666"/>
      <c r="Q114" s="1666"/>
      <c r="R114" s="1666"/>
      <c r="S114" s="2179"/>
      <c r="T114" s="1200"/>
      <c r="U114" s="1992"/>
      <c r="V114" s="368"/>
      <c r="W114" s="368"/>
    </row>
    <row r="115" spans="1:23" ht="267" customHeight="1">
      <c r="A115" s="1765"/>
      <c r="B115" s="2234"/>
      <c r="C115" s="1839"/>
      <c r="D115" s="1428" t="s">
        <v>1321</v>
      </c>
      <c r="E115" s="991">
        <f>E112</f>
        <v>182.86600000000001</v>
      </c>
      <c r="F115" s="991">
        <f t="shared" ref="F115:G115" si="56">F112</f>
        <v>443.45900000000006</v>
      </c>
      <c r="G115" s="991">
        <f t="shared" si="56"/>
        <v>296.41800000000001</v>
      </c>
      <c r="H115" s="992">
        <f>G115/F115</f>
        <v>0.66842255992098476</v>
      </c>
      <c r="I115" s="991">
        <f>I112+I113+I114</f>
        <v>5</v>
      </c>
      <c r="J115" s="1701"/>
      <c r="K115" s="2224"/>
      <c r="L115" s="1638"/>
      <c r="M115" s="1638"/>
      <c r="N115" s="1639"/>
      <c r="O115" s="1639"/>
      <c r="P115" s="1666"/>
      <c r="Q115" s="1666"/>
      <c r="R115" s="1666"/>
      <c r="S115" s="1768"/>
      <c r="T115" s="1200"/>
      <c r="U115" s="1993"/>
      <c r="V115" s="368"/>
      <c r="W115" s="368"/>
    </row>
    <row r="116" spans="1:23" ht="59.25" hidden="1" customHeight="1">
      <c r="A116" s="613"/>
      <c r="B116" s="522" t="s">
        <v>715</v>
      </c>
      <c r="C116" s="878"/>
      <c r="D116" s="1095"/>
      <c r="E116" s="1096"/>
      <c r="F116" s="537">
        <v>100.377</v>
      </c>
      <c r="G116" s="537">
        <v>99.578000000000003</v>
      </c>
      <c r="H116" s="1429">
        <f>G116/F116</f>
        <v>0.99204000916544632</v>
      </c>
      <c r="I116" s="1007"/>
      <c r="J116" s="1007"/>
      <c r="K116" s="1517" t="s">
        <v>2960</v>
      </c>
      <c r="L116" s="616"/>
      <c r="M116" s="483"/>
      <c r="N116" s="483"/>
      <c r="O116" s="483"/>
      <c r="P116" s="720"/>
      <c r="Q116" s="720"/>
      <c r="R116" s="720"/>
      <c r="S116" s="753"/>
      <c r="T116" s="1200"/>
      <c r="U116" s="1187"/>
      <c r="V116" s="368"/>
      <c r="W116" s="368"/>
    </row>
    <row r="117" spans="1:23" ht="27.75" hidden="1" customHeight="1">
      <c r="A117" s="617"/>
      <c r="B117" s="522" t="s">
        <v>2855</v>
      </c>
      <c r="C117" s="878"/>
      <c r="D117" s="911"/>
      <c r="E117" s="541"/>
      <c r="F117" s="537">
        <v>129.35</v>
      </c>
      <c r="G117" s="537">
        <v>44.564999999999998</v>
      </c>
      <c r="H117" s="1429">
        <f t="shared" ref="H117:H130" si="57">G117/F117</f>
        <v>0.34453034402783145</v>
      </c>
      <c r="I117" s="537"/>
      <c r="J117" s="537"/>
      <c r="K117" s="1517" t="s">
        <v>3380</v>
      </c>
      <c r="L117" s="616"/>
      <c r="M117" s="483"/>
      <c r="N117" s="483"/>
      <c r="O117" s="483"/>
      <c r="P117" s="720"/>
      <c r="Q117" s="720"/>
      <c r="R117" s="720"/>
      <c r="S117" s="483"/>
      <c r="T117" s="1200"/>
      <c r="U117" s="1187"/>
      <c r="V117" s="368"/>
      <c r="W117" s="368"/>
    </row>
    <row r="118" spans="1:23" ht="25.5" hidden="1" customHeight="1">
      <c r="A118" s="617"/>
      <c r="B118" s="522" t="s">
        <v>1579</v>
      </c>
      <c r="C118" s="878"/>
      <c r="D118" s="911"/>
      <c r="E118" s="541"/>
      <c r="F118" s="537">
        <v>19.989999999999998</v>
      </c>
      <c r="G118" s="537">
        <v>19.989000000000001</v>
      </c>
      <c r="H118" s="1429">
        <f t="shared" si="57"/>
        <v>0.99994997498749383</v>
      </c>
      <c r="I118" s="537"/>
      <c r="J118" s="537"/>
      <c r="K118" s="1507" t="s">
        <v>3331</v>
      </c>
      <c r="L118" s="616"/>
      <c r="M118" s="483"/>
      <c r="N118" s="483"/>
      <c r="O118" s="483"/>
      <c r="P118" s="720"/>
      <c r="Q118" s="720"/>
      <c r="R118" s="720"/>
      <c r="S118" s="483"/>
      <c r="T118" s="1200"/>
      <c r="U118" s="1187"/>
      <c r="V118" s="368"/>
      <c r="W118" s="368"/>
    </row>
    <row r="119" spans="1:23" ht="65.25" hidden="1" customHeight="1">
      <c r="A119" s="617"/>
      <c r="B119" s="616" t="s">
        <v>1575</v>
      </c>
      <c r="C119" s="878"/>
      <c r="D119" s="911"/>
      <c r="E119" s="541"/>
      <c r="F119" s="537">
        <v>49.548999999999999</v>
      </c>
      <c r="G119" s="537">
        <v>21.696999999999999</v>
      </c>
      <c r="H119" s="1429">
        <f t="shared" si="57"/>
        <v>0.43788976568649213</v>
      </c>
      <c r="I119" s="537"/>
      <c r="J119" s="537"/>
      <c r="K119" s="1517" t="s">
        <v>3330</v>
      </c>
      <c r="L119" s="616"/>
      <c r="M119" s="483"/>
      <c r="N119" s="483"/>
      <c r="O119" s="483"/>
      <c r="P119" s="720"/>
      <c r="Q119" s="720"/>
      <c r="R119" s="720"/>
      <c r="S119" s="483"/>
      <c r="T119" s="1200"/>
      <c r="U119" s="1187"/>
      <c r="V119" s="368"/>
      <c r="W119" s="368"/>
    </row>
    <row r="120" spans="1:23" ht="63" hidden="1" customHeight="1">
      <c r="A120" s="617"/>
      <c r="B120" s="616" t="s">
        <v>1576</v>
      </c>
      <c r="C120" s="878"/>
      <c r="D120" s="911"/>
      <c r="E120" s="541"/>
      <c r="F120" s="537">
        <v>1.7</v>
      </c>
      <c r="G120" s="537">
        <v>1.7</v>
      </c>
      <c r="H120" s="1429">
        <f t="shared" si="57"/>
        <v>1</v>
      </c>
      <c r="I120" s="541"/>
      <c r="J120" s="537"/>
      <c r="K120" s="1517" t="s">
        <v>3357</v>
      </c>
      <c r="L120" s="616"/>
      <c r="M120" s="483"/>
      <c r="N120" s="483"/>
      <c r="O120" s="483"/>
      <c r="P120" s="1430">
        <v>4</v>
      </c>
      <c r="Q120" s="1430">
        <v>4</v>
      </c>
      <c r="R120" s="1430">
        <v>4</v>
      </c>
      <c r="S120" s="483"/>
      <c r="T120" s="1200"/>
      <c r="U120" s="1187"/>
      <c r="V120" s="368"/>
      <c r="W120" s="368"/>
    </row>
    <row r="121" spans="1:23" ht="30.75" hidden="1" customHeight="1">
      <c r="A121" s="617"/>
      <c r="B121" s="616" t="s">
        <v>1551</v>
      </c>
      <c r="C121" s="878"/>
      <c r="D121" s="911"/>
      <c r="E121" s="541"/>
      <c r="F121" s="537">
        <v>4.99</v>
      </c>
      <c r="G121" s="537">
        <v>4.9889999999999999</v>
      </c>
      <c r="H121" s="1429">
        <f t="shared" si="57"/>
        <v>0.99979959919839667</v>
      </c>
      <c r="I121" s="541"/>
      <c r="J121" s="537"/>
      <c r="K121" s="1517" t="s">
        <v>3525</v>
      </c>
      <c r="L121" s="616"/>
      <c r="M121" s="483"/>
      <c r="N121" s="483"/>
      <c r="O121" s="483"/>
      <c r="P121" s="1430">
        <v>3527</v>
      </c>
      <c r="Q121" s="1430"/>
      <c r="R121" s="1430"/>
      <c r="S121" s="483"/>
      <c r="T121" s="1200"/>
      <c r="U121" s="1187"/>
      <c r="V121" s="368"/>
      <c r="W121" s="368"/>
    </row>
    <row r="122" spans="1:23" ht="87" hidden="1" customHeight="1">
      <c r="A122" s="617"/>
      <c r="B122" s="618" t="s">
        <v>1668</v>
      </c>
      <c r="C122" s="878"/>
      <c r="D122" s="911"/>
      <c r="E122" s="541"/>
      <c r="F122" s="537">
        <v>21.905000000000001</v>
      </c>
      <c r="G122" s="537">
        <v>21.9</v>
      </c>
      <c r="H122" s="1429">
        <f t="shared" si="57"/>
        <v>0.99977174161150406</v>
      </c>
      <c r="I122" s="537"/>
      <c r="J122" s="537"/>
      <c r="K122" s="1517" t="s">
        <v>3332</v>
      </c>
      <c r="L122" s="616"/>
      <c r="M122" s="483"/>
      <c r="N122" s="483"/>
      <c r="O122" s="483"/>
      <c r="P122" s="1430"/>
      <c r="Q122" s="1430"/>
      <c r="R122" s="1430"/>
      <c r="S122" s="483"/>
      <c r="T122" s="1200"/>
      <c r="U122" s="1187"/>
      <c r="V122" s="368"/>
      <c r="W122" s="368"/>
    </row>
    <row r="123" spans="1:23" ht="32.25" hidden="1" customHeight="1">
      <c r="A123" s="617"/>
      <c r="B123" s="618" t="s">
        <v>1584</v>
      </c>
      <c r="C123" s="878"/>
      <c r="D123" s="911"/>
      <c r="E123" s="541"/>
      <c r="F123" s="537">
        <v>18.146000000000001</v>
      </c>
      <c r="G123" s="537">
        <v>18.145</v>
      </c>
      <c r="H123" s="1429">
        <f t="shared" si="57"/>
        <v>0.99994489143612908</v>
      </c>
      <c r="I123" s="541"/>
      <c r="J123" s="537"/>
      <c r="K123" s="1517" t="s">
        <v>2984</v>
      </c>
      <c r="L123" s="616"/>
      <c r="M123" s="483"/>
      <c r="N123" s="483"/>
      <c r="O123" s="483"/>
      <c r="P123" s="1430"/>
      <c r="Q123" s="1430"/>
      <c r="R123" s="1430"/>
      <c r="S123" s="483"/>
      <c r="T123" s="1200"/>
      <c r="U123" s="1187"/>
      <c r="V123" s="368"/>
      <c r="W123" s="368"/>
    </row>
    <row r="124" spans="1:23" ht="33" hidden="1" customHeight="1">
      <c r="A124" s="617"/>
      <c r="B124" s="522" t="s">
        <v>2884</v>
      </c>
      <c r="C124" s="878"/>
      <c r="D124" s="911"/>
      <c r="E124" s="541"/>
      <c r="F124" s="537">
        <v>8.0069999999999997</v>
      </c>
      <c r="G124" s="537">
        <v>8.0060000000000002</v>
      </c>
      <c r="H124" s="1429">
        <f t="shared" si="57"/>
        <v>0.99987510927938061</v>
      </c>
      <c r="I124" s="541"/>
      <c r="J124" s="537"/>
      <c r="K124" s="1517" t="s">
        <v>3524</v>
      </c>
      <c r="L124" s="616"/>
      <c r="M124" s="483"/>
      <c r="N124" s="483"/>
      <c r="O124" s="483"/>
      <c r="P124" s="1430"/>
      <c r="Q124" s="1430"/>
      <c r="R124" s="1430"/>
      <c r="S124" s="483"/>
      <c r="T124" s="1200"/>
      <c r="U124" s="1187"/>
      <c r="V124" s="368"/>
      <c r="W124" s="368"/>
    </row>
    <row r="125" spans="1:23" ht="28.5" hidden="1" customHeight="1">
      <c r="A125" s="617"/>
      <c r="B125" s="616" t="s">
        <v>2885</v>
      </c>
      <c r="C125" s="878"/>
      <c r="D125" s="911"/>
      <c r="E125" s="541"/>
      <c r="F125" s="537">
        <v>3.21</v>
      </c>
      <c r="G125" s="537">
        <v>3.2080000000000002</v>
      </c>
      <c r="H125" s="1429">
        <f t="shared" si="57"/>
        <v>0.99937694704049851</v>
      </c>
      <c r="I125" s="541"/>
      <c r="J125" s="537"/>
      <c r="K125" s="1517" t="s">
        <v>3349</v>
      </c>
      <c r="L125" s="616"/>
      <c r="M125" s="483"/>
      <c r="N125" s="483"/>
      <c r="O125" s="483"/>
      <c r="P125" s="1430"/>
      <c r="Q125" s="1430"/>
      <c r="R125" s="1430"/>
      <c r="S125" s="483"/>
      <c r="T125" s="1200"/>
      <c r="U125" s="1187"/>
      <c r="V125" s="368"/>
      <c r="W125" s="368"/>
    </row>
    <row r="126" spans="1:23" ht="27.75" hidden="1" customHeight="1">
      <c r="A126" s="617"/>
      <c r="B126" s="522" t="s">
        <v>2871</v>
      </c>
      <c r="C126" s="878"/>
      <c r="D126" s="911"/>
      <c r="E126" s="541"/>
      <c r="F126" s="537">
        <v>16.593</v>
      </c>
      <c r="G126" s="537">
        <v>16.593</v>
      </c>
      <c r="H126" s="1429">
        <f t="shared" si="57"/>
        <v>1</v>
      </c>
      <c r="I126" s="541"/>
      <c r="J126" s="537"/>
      <c r="K126" s="1517" t="s">
        <v>3526</v>
      </c>
      <c r="L126" s="616"/>
      <c r="M126" s="483"/>
      <c r="N126" s="483"/>
      <c r="O126" s="483"/>
      <c r="P126" s="1430"/>
      <c r="Q126" s="1430"/>
      <c r="R126" s="1430"/>
      <c r="S126" s="483"/>
      <c r="T126" s="1200"/>
      <c r="U126" s="1187"/>
      <c r="V126" s="368"/>
      <c r="W126" s="368"/>
    </row>
    <row r="127" spans="1:23" ht="24.75" hidden="1" customHeight="1">
      <c r="A127" s="617"/>
      <c r="B127" s="619" t="s">
        <v>1583</v>
      </c>
      <c r="C127" s="878"/>
      <c r="D127" s="911"/>
      <c r="E127" s="541"/>
      <c r="F127" s="537">
        <v>3.3</v>
      </c>
      <c r="G127" s="537">
        <v>2.7269999999999999</v>
      </c>
      <c r="H127" s="1429">
        <f t="shared" si="57"/>
        <v>0.82636363636363641</v>
      </c>
      <c r="I127" s="541"/>
      <c r="J127" s="537"/>
      <c r="K127" s="1517" t="s">
        <v>3328</v>
      </c>
      <c r="L127" s="616"/>
      <c r="M127" s="483"/>
      <c r="N127" s="483"/>
      <c r="O127" s="483"/>
      <c r="P127" s="1430"/>
      <c r="Q127" s="1430"/>
      <c r="R127" s="1430"/>
      <c r="S127" s="483"/>
      <c r="T127" s="1200"/>
      <c r="U127" s="1187"/>
      <c r="V127" s="368"/>
      <c r="W127" s="368"/>
    </row>
    <row r="128" spans="1:23" ht="29.25" hidden="1" customHeight="1">
      <c r="A128" s="617"/>
      <c r="B128" s="618" t="s">
        <v>1580</v>
      </c>
      <c r="C128" s="878"/>
      <c r="D128" s="911"/>
      <c r="E128" s="541"/>
      <c r="F128" s="537">
        <v>3.23</v>
      </c>
      <c r="G128" s="537">
        <v>3.2290000000000001</v>
      </c>
      <c r="H128" s="1429">
        <f t="shared" si="57"/>
        <v>0.9996904024767802</v>
      </c>
      <c r="I128" s="541"/>
      <c r="J128" s="537"/>
      <c r="K128" s="1517" t="s">
        <v>3329</v>
      </c>
      <c r="L128" s="616"/>
      <c r="M128" s="483"/>
      <c r="N128" s="483"/>
      <c r="O128" s="483"/>
      <c r="P128" s="1430"/>
      <c r="Q128" s="1430"/>
      <c r="R128" s="1430"/>
      <c r="S128" s="483"/>
      <c r="T128" s="1200"/>
      <c r="U128" s="1187"/>
      <c r="V128" s="368"/>
      <c r="W128" s="368"/>
    </row>
    <row r="129" spans="1:24" ht="33" hidden="1" customHeight="1">
      <c r="A129" s="617"/>
      <c r="B129" s="619" t="s">
        <v>1581</v>
      </c>
      <c r="C129" s="878"/>
      <c r="D129" s="911"/>
      <c r="E129" s="541"/>
      <c r="F129" s="537">
        <v>22.055</v>
      </c>
      <c r="G129" s="537">
        <v>11.035</v>
      </c>
      <c r="H129" s="1429">
        <f t="shared" si="57"/>
        <v>0.50034005894355027</v>
      </c>
      <c r="I129" s="541"/>
      <c r="J129" s="537"/>
      <c r="K129" s="1517" t="s">
        <v>2985</v>
      </c>
      <c r="L129" s="616"/>
      <c r="M129" s="483"/>
      <c r="N129" s="483"/>
      <c r="O129" s="483"/>
      <c r="P129" s="1430"/>
      <c r="Q129" s="1430"/>
      <c r="R129" s="1430"/>
      <c r="S129" s="483"/>
      <c r="T129" s="1200"/>
      <c r="U129" s="1187"/>
      <c r="V129" s="368"/>
      <c r="W129" s="368"/>
    </row>
    <row r="130" spans="1:24" ht="30.75" hidden="1" customHeight="1">
      <c r="A130" s="617"/>
      <c r="B130" s="618" t="s">
        <v>1552</v>
      </c>
      <c r="C130" s="878"/>
      <c r="D130" s="911"/>
      <c r="E130" s="541"/>
      <c r="F130" s="537">
        <v>41.057000000000002</v>
      </c>
      <c r="G130" s="537">
        <v>19.056999999999999</v>
      </c>
      <c r="H130" s="1429">
        <f t="shared" si="57"/>
        <v>0.46415958301873</v>
      </c>
      <c r="I130" s="541"/>
      <c r="J130" s="537"/>
      <c r="K130" s="1517" t="s">
        <v>3333</v>
      </c>
      <c r="L130" s="616"/>
      <c r="M130" s="483"/>
      <c r="N130" s="483"/>
      <c r="O130" s="483"/>
      <c r="P130" s="1430"/>
      <c r="Q130" s="1430"/>
      <c r="R130" s="1430"/>
      <c r="S130" s="483"/>
      <c r="T130" s="1200"/>
      <c r="U130" s="1187"/>
      <c r="V130" s="368"/>
      <c r="W130" s="368"/>
    </row>
    <row r="131" spans="1:24" ht="42" hidden="1" customHeight="1">
      <c r="A131" s="520"/>
      <c r="B131" s="521"/>
      <c r="C131" s="794"/>
      <c r="D131" s="720"/>
      <c r="E131" s="534"/>
      <c r="F131" s="534"/>
      <c r="G131" s="534"/>
      <c r="H131" s="534"/>
      <c r="I131" s="534"/>
      <c r="J131" s="464"/>
      <c r="K131" s="1495"/>
      <c r="L131" s="483"/>
      <c r="M131" s="483"/>
      <c r="N131" s="483"/>
      <c r="O131" s="483"/>
      <c r="P131" s="1430"/>
      <c r="Q131" s="1430"/>
      <c r="R131" s="1430"/>
      <c r="S131" s="483"/>
      <c r="T131" s="1200"/>
      <c r="U131" s="1189"/>
      <c r="V131" s="368"/>
      <c r="W131" s="368"/>
    </row>
    <row r="132" spans="1:24" ht="42" hidden="1" customHeight="1">
      <c r="A132" s="520"/>
      <c r="B132" s="521"/>
      <c r="C132" s="794"/>
      <c r="D132" s="720"/>
      <c r="E132" s="534"/>
      <c r="F132" s="534"/>
      <c r="G132" s="534"/>
      <c r="H132" s="534"/>
      <c r="I132" s="534"/>
      <c r="J132" s="464"/>
      <c r="K132" s="1495"/>
      <c r="L132" s="483"/>
      <c r="M132" s="483"/>
      <c r="N132" s="483"/>
      <c r="O132" s="483"/>
      <c r="P132" s="1430"/>
      <c r="Q132" s="1430"/>
      <c r="R132" s="1430"/>
      <c r="S132" s="483"/>
      <c r="T132" s="1200"/>
      <c r="U132" s="1189"/>
      <c r="V132" s="368"/>
      <c r="W132" s="368"/>
    </row>
    <row r="133" spans="1:24" ht="42" hidden="1" customHeight="1">
      <c r="A133" s="520"/>
      <c r="B133" s="521"/>
      <c r="C133" s="794"/>
      <c r="D133" s="720"/>
      <c r="E133" s="534"/>
      <c r="F133" s="534"/>
      <c r="G133" s="534"/>
      <c r="H133" s="534"/>
      <c r="I133" s="534"/>
      <c r="J133" s="464"/>
      <c r="K133" s="1495"/>
      <c r="L133" s="483"/>
      <c r="M133" s="483"/>
      <c r="N133" s="483"/>
      <c r="O133" s="483"/>
      <c r="P133" s="1430"/>
      <c r="Q133" s="1430"/>
      <c r="R133" s="1430"/>
      <c r="S133" s="483"/>
      <c r="T133" s="1200"/>
      <c r="U133" s="1189"/>
      <c r="V133" s="368"/>
      <c r="W133" s="368"/>
    </row>
    <row r="134" spans="1:24" ht="42" hidden="1" customHeight="1">
      <c r="A134" s="520"/>
      <c r="B134" s="521"/>
      <c r="C134" s="794"/>
      <c r="D134" s="720"/>
      <c r="E134" s="534"/>
      <c r="F134" s="534"/>
      <c r="G134" s="534"/>
      <c r="H134" s="534"/>
      <c r="I134" s="534"/>
      <c r="J134" s="464"/>
      <c r="K134" s="1495"/>
      <c r="L134" s="483"/>
      <c r="M134" s="483"/>
      <c r="N134" s="483"/>
      <c r="O134" s="483"/>
      <c r="P134" s="1430"/>
      <c r="Q134" s="1430"/>
      <c r="R134" s="1430"/>
      <c r="S134" s="483"/>
      <c r="T134" s="1200"/>
      <c r="U134" s="1189"/>
      <c r="V134" s="368"/>
      <c r="W134" s="368"/>
    </row>
    <row r="135" spans="1:24" ht="42" hidden="1" customHeight="1">
      <c r="A135" s="520"/>
      <c r="B135" s="521"/>
      <c r="C135" s="794"/>
      <c r="D135" s="720"/>
      <c r="E135" s="534"/>
      <c r="F135" s="534"/>
      <c r="G135" s="534"/>
      <c r="H135" s="534"/>
      <c r="I135" s="534"/>
      <c r="J135" s="464"/>
      <c r="K135" s="1495"/>
      <c r="L135" s="483"/>
      <c r="M135" s="483"/>
      <c r="N135" s="483"/>
      <c r="O135" s="483"/>
      <c r="P135" s="1430"/>
      <c r="Q135" s="1430"/>
      <c r="R135" s="1430"/>
      <c r="S135" s="483"/>
      <c r="T135" s="1200"/>
      <c r="U135" s="1189"/>
      <c r="V135" s="368"/>
      <c r="W135" s="368"/>
    </row>
    <row r="136" spans="1:24" ht="42" hidden="1" customHeight="1">
      <c r="A136" s="2228" t="s">
        <v>2165</v>
      </c>
      <c r="B136" s="1705" t="s">
        <v>2709</v>
      </c>
      <c r="C136" s="1673">
        <v>188711925</v>
      </c>
      <c r="D136" s="633" t="s">
        <v>668</v>
      </c>
      <c r="E136" s="810"/>
      <c r="F136" s="810"/>
      <c r="G136" s="810"/>
      <c r="H136" s="810"/>
      <c r="I136" s="701">
        <v>10</v>
      </c>
      <c r="J136" s="1701" t="s">
        <v>2290</v>
      </c>
      <c r="K136" s="1640" t="s">
        <v>2764</v>
      </c>
      <c r="L136" s="1637" t="s">
        <v>1787</v>
      </c>
      <c r="M136" s="1637" t="s">
        <v>1788</v>
      </c>
      <c r="N136" s="525"/>
      <c r="O136" s="525"/>
      <c r="P136" s="1703">
        <v>1</v>
      </c>
      <c r="Q136" s="1703">
        <v>1</v>
      </c>
      <c r="R136" s="1703">
        <v>1</v>
      </c>
      <c r="S136" s="1637" t="s">
        <v>2490</v>
      </c>
      <c r="T136" s="1200"/>
      <c r="U136" s="1189"/>
      <c r="V136" s="368"/>
      <c r="W136" s="368"/>
    </row>
    <row r="137" spans="1:24" ht="42" hidden="1" customHeight="1">
      <c r="A137" s="2229"/>
      <c r="B137" s="1695"/>
      <c r="C137" s="1711"/>
      <c r="D137" s="705" t="s">
        <v>1321</v>
      </c>
      <c r="E137" s="1106">
        <f>SUM(E129:E136)</f>
        <v>0</v>
      </c>
      <c r="F137" s="1106"/>
      <c r="G137" s="1106"/>
      <c r="H137" s="1106"/>
      <c r="I137" s="706">
        <f t="shared" ref="I137" si="58">I136</f>
        <v>10</v>
      </c>
      <c r="J137" s="1702"/>
      <c r="K137" s="1641"/>
      <c r="L137" s="1639"/>
      <c r="M137" s="1639"/>
      <c r="N137" s="527"/>
      <c r="O137" s="527"/>
      <c r="P137" s="1704"/>
      <c r="Q137" s="1704"/>
      <c r="R137" s="1704"/>
      <c r="S137" s="1639"/>
      <c r="T137" s="1200"/>
      <c r="U137" s="1189"/>
      <c r="V137" s="368"/>
      <c r="W137" s="368"/>
    </row>
    <row r="138" spans="1:24" ht="48" customHeight="1">
      <c r="A138" s="496" t="s">
        <v>2188</v>
      </c>
      <c r="B138" s="496" t="s">
        <v>1514</v>
      </c>
      <c r="C138" s="496"/>
      <c r="D138" s="496"/>
      <c r="E138" s="691">
        <f>E140</f>
        <v>19</v>
      </c>
      <c r="F138" s="691">
        <f t="shared" ref="F138:G138" si="59">F140</f>
        <v>19</v>
      </c>
      <c r="G138" s="691">
        <f t="shared" si="59"/>
        <v>2.6840000000000002</v>
      </c>
      <c r="H138" s="692">
        <f>G138/F138</f>
        <v>0.14126315789473684</v>
      </c>
      <c r="I138" s="691">
        <f t="shared" ref="I138" si="60">I140</f>
        <v>10</v>
      </c>
      <c r="J138" s="496" t="s">
        <v>2380</v>
      </c>
      <c r="K138" s="1875"/>
      <c r="L138" s="1876"/>
      <c r="M138" s="1876"/>
      <c r="N138" s="1876"/>
      <c r="O138" s="1876"/>
      <c r="P138" s="1876"/>
      <c r="Q138" s="1876"/>
      <c r="R138" s="1876"/>
      <c r="S138" s="1876"/>
      <c r="T138" s="1876"/>
      <c r="U138" s="1877"/>
      <c r="V138" s="368"/>
      <c r="W138" s="368"/>
    </row>
    <row r="139" spans="1:24" ht="42" customHeight="1">
      <c r="A139" s="1805" t="s">
        <v>2166</v>
      </c>
      <c r="B139" s="2215" t="s">
        <v>1515</v>
      </c>
      <c r="C139" s="1969">
        <v>188711925</v>
      </c>
      <c r="D139" s="657" t="s">
        <v>668</v>
      </c>
      <c r="E139" s="701">
        <v>19</v>
      </c>
      <c r="F139" s="701">
        <v>19</v>
      </c>
      <c r="G139" s="701">
        <v>2.6840000000000002</v>
      </c>
      <c r="H139" s="702">
        <f>G139/F139</f>
        <v>0.14126315789473684</v>
      </c>
      <c r="I139" s="701">
        <v>10</v>
      </c>
      <c r="J139" s="1701" t="s">
        <v>2381</v>
      </c>
      <c r="K139" s="1699" t="s">
        <v>3690</v>
      </c>
      <c r="L139" s="1646" t="s">
        <v>464</v>
      </c>
      <c r="M139" s="1646" t="s">
        <v>1709</v>
      </c>
      <c r="N139" s="1646" t="s">
        <v>613</v>
      </c>
      <c r="O139" s="1646" t="s">
        <v>613</v>
      </c>
      <c r="P139" s="2182">
        <v>1</v>
      </c>
      <c r="Q139" s="2182">
        <v>2</v>
      </c>
      <c r="R139" s="2182">
        <v>2</v>
      </c>
      <c r="S139" s="1646" t="s">
        <v>2495</v>
      </c>
      <c r="T139" s="657"/>
      <c r="U139" s="1735" t="s">
        <v>3626</v>
      </c>
      <c r="V139" s="368"/>
      <c r="W139" s="368"/>
    </row>
    <row r="140" spans="1:24" ht="93.75" customHeight="1">
      <c r="A140" s="1805"/>
      <c r="B140" s="2215"/>
      <c r="C140" s="1969"/>
      <c r="D140" s="705" t="s">
        <v>1321</v>
      </c>
      <c r="E140" s="706">
        <f>SUM(E139)</f>
        <v>19</v>
      </c>
      <c r="F140" s="706">
        <f t="shared" ref="F140:H140" si="61">SUM(F139)</f>
        <v>19</v>
      </c>
      <c r="G140" s="706">
        <f t="shared" si="61"/>
        <v>2.6840000000000002</v>
      </c>
      <c r="H140" s="707">
        <f t="shared" si="61"/>
        <v>0.14126315789473684</v>
      </c>
      <c r="I140" s="706">
        <f t="shared" ref="I140" si="62">SUM(I139)</f>
        <v>10</v>
      </c>
      <c r="J140" s="1702"/>
      <c r="K140" s="1700"/>
      <c r="L140" s="1646"/>
      <c r="M140" s="1646"/>
      <c r="N140" s="1646"/>
      <c r="O140" s="1646"/>
      <c r="P140" s="2182"/>
      <c r="Q140" s="2182"/>
      <c r="R140" s="2182"/>
      <c r="S140" s="1646"/>
      <c r="T140" s="657"/>
      <c r="U140" s="1735"/>
      <c r="V140" s="368"/>
      <c r="W140" s="368"/>
    </row>
    <row r="141" spans="1:24" ht="42" hidden="1" customHeight="1">
      <c r="A141" s="1431" t="s">
        <v>2189</v>
      </c>
      <c r="B141" s="1431" t="s">
        <v>1516</v>
      </c>
      <c r="C141" s="1431"/>
      <c r="D141" s="1431"/>
      <c r="E141" s="1432">
        <f>E143</f>
        <v>0</v>
      </c>
      <c r="F141" s="1432"/>
      <c r="G141" s="1432"/>
      <c r="H141" s="1432"/>
      <c r="I141" s="1431"/>
      <c r="J141" s="1431"/>
      <c r="K141" s="1551"/>
      <c r="L141" s="1431" t="s">
        <v>1737</v>
      </c>
      <c r="M141" s="1431" t="s">
        <v>2496</v>
      </c>
      <c r="N141" s="1431"/>
      <c r="O141" s="1431"/>
      <c r="P141" s="1431">
        <v>0</v>
      </c>
      <c r="Q141" s="1431">
        <v>0</v>
      </c>
      <c r="R141" s="1431">
        <v>0</v>
      </c>
      <c r="S141" s="1431"/>
      <c r="T141" s="1200"/>
      <c r="U141" s="1189"/>
      <c r="V141" s="368"/>
      <c r="W141" s="368"/>
    </row>
    <row r="142" spans="1:24" ht="42" hidden="1" customHeight="1">
      <c r="A142" s="2192" t="s">
        <v>2167</v>
      </c>
      <c r="B142" s="2193" t="s">
        <v>1517</v>
      </c>
      <c r="C142" s="2194"/>
      <c r="D142" s="979" t="s">
        <v>668</v>
      </c>
      <c r="E142" s="1433">
        <v>0</v>
      </c>
      <c r="F142" s="1433"/>
      <c r="G142" s="1433"/>
      <c r="H142" s="1433"/>
      <c r="I142" s="980"/>
      <c r="J142" s="2213"/>
      <c r="K142" s="2211" t="s">
        <v>2497</v>
      </c>
      <c r="L142" s="2183" t="s">
        <v>1738</v>
      </c>
      <c r="M142" s="2183" t="s">
        <v>2498</v>
      </c>
      <c r="N142" s="531"/>
      <c r="O142" s="531"/>
      <c r="P142" s="2180">
        <v>1</v>
      </c>
      <c r="Q142" s="2180">
        <v>1</v>
      </c>
      <c r="R142" s="2180">
        <v>1</v>
      </c>
      <c r="S142" s="2183"/>
      <c r="T142" s="1200"/>
      <c r="U142" s="1189"/>
      <c r="V142" s="368"/>
      <c r="W142" s="368"/>
    </row>
    <row r="143" spans="1:24" ht="42" hidden="1" customHeight="1">
      <c r="A143" s="2192"/>
      <c r="B143" s="2193"/>
      <c r="C143" s="2194"/>
      <c r="D143" s="1434" t="s">
        <v>1321</v>
      </c>
      <c r="E143" s="1433"/>
      <c r="F143" s="1433"/>
      <c r="G143" s="1433"/>
      <c r="H143" s="1433"/>
      <c r="I143" s="980"/>
      <c r="J143" s="2214"/>
      <c r="K143" s="2212"/>
      <c r="L143" s="2184"/>
      <c r="M143" s="2184"/>
      <c r="N143" s="532"/>
      <c r="O143" s="532"/>
      <c r="P143" s="2181"/>
      <c r="Q143" s="2181"/>
      <c r="R143" s="2181"/>
      <c r="S143" s="2184"/>
      <c r="T143" s="1200"/>
      <c r="U143" s="1189"/>
      <c r="V143" s="368"/>
      <c r="W143" s="368"/>
    </row>
    <row r="144" spans="1:24" ht="50.25" customHeight="1">
      <c r="A144" s="496" t="s">
        <v>2187</v>
      </c>
      <c r="B144" s="496" t="s">
        <v>1518</v>
      </c>
      <c r="C144" s="496"/>
      <c r="D144" s="496"/>
      <c r="E144" s="496">
        <f>SUM(E146,E148,E152,E154,E156,E158,E160,E162,E164)</f>
        <v>4341.0519999999997</v>
      </c>
      <c r="F144" s="691">
        <f t="shared" ref="F144:G144" si="63">SUM(F146,F148,F152,F154,F156,F158,F160,F162,F164)</f>
        <v>3942.3700000000003</v>
      </c>
      <c r="G144" s="691">
        <f t="shared" si="63"/>
        <v>3572.8789999999999</v>
      </c>
      <c r="H144" s="692">
        <f>G144/F144</f>
        <v>0.90627693494015016</v>
      </c>
      <c r="I144" s="691">
        <f t="shared" ref="I144" si="64">SUM(I146,I148,I152,I154,I156,I158,I160,I162,I164)</f>
        <v>261.60000000000002</v>
      </c>
      <c r="J144" s="496"/>
      <c r="K144" s="1875"/>
      <c r="L144" s="1876"/>
      <c r="M144" s="1876"/>
      <c r="N144" s="1876"/>
      <c r="O144" s="1876"/>
      <c r="P144" s="1876"/>
      <c r="Q144" s="1876"/>
      <c r="R144" s="1876"/>
      <c r="S144" s="1876"/>
      <c r="T144" s="1876"/>
      <c r="U144" s="1877"/>
      <c r="V144" s="368"/>
      <c r="W144" s="368"/>
      <c r="X144" s="368" t="s">
        <v>2523</v>
      </c>
    </row>
    <row r="145" spans="1:81" ht="42" customHeight="1">
      <c r="A145" s="1803" t="s">
        <v>2168</v>
      </c>
      <c r="B145" s="1824" t="s">
        <v>1519</v>
      </c>
      <c r="C145" s="1828">
        <v>188711925</v>
      </c>
      <c r="D145" s="733" t="s">
        <v>66</v>
      </c>
      <c r="E145" s="734">
        <v>5</v>
      </c>
      <c r="F145" s="734">
        <v>5</v>
      </c>
      <c r="G145" s="734">
        <v>2.9790000000000001</v>
      </c>
      <c r="H145" s="803">
        <f>G145/F145</f>
        <v>0.5958</v>
      </c>
      <c r="I145" s="734">
        <v>5.3</v>
      </c>
      <c r="J145" s="1698" t="s">
        <v>2413</v>
      </c>
      <c r="K145" s="1699" t="s">
        <v>2983</v>
      </c>
      <c r="L145" s="1646" t="s">
        <v>410</v>
      </c>
      <c r="M145" s="1646" t="s">
        <v>1710</v>
      </c>
      <c r="N145" s="1646" t="s">
        <v>2982</v>
      </c>
      <c r="O145" s="1646" t="s">
        <v>2982</v>
      </c>
      <c r="P145" s="1646" t="s">
        <v>6</v>
      </c>
      <c r="Q145" s="1646" t="s">
        <v>613</v>
      </c>
      <c r="R145" s="1646" t="s">
        <v>613</v>
      </c>
      <c r="S145" s="1646" t="s">
        <v>2414</v>
      </c>
      <c r="T145" s="657"/>
      <c r="U145" s="1735" t="s">
        <v>3548</v>
      </c>
      <c r="V145" s="368"/>
      <c r="W145" s="368"/>
    </row>
    <row r="146" spans="1:81" ht="42" customHeight="1">
      <c r="A146" s="1803"/>
      <c r="B146" s="1791"/>
      <c r="C146" s="1826"/>
      <c r="D146" s="727" t="s">
        <v>1321</v>
      </c>
      <c r="E146" s="706">
        <f>SUM(E145:E145)</f>
        <v>5</v>
      </c>
      <c r="F146" s="706">
        <f t="shared" ref="F146:H146" si="65">SUM(F145:F145)</f>
        <v>5</v>
      </c>
      <c r="G146" s="706">
        <f t="shared" si="65"/>
        <v>2.9790000000000001</v>
      </c>
      <c r="H146" s="707">
        <f t="shared" si="65"/>
        <v>0.5958</v>
      </c>
      <c r="I146" s="706">
        <f t="shared" ref="I146" si="66">SUM(I145:I145)</f>
        <v>5.3</v>
      </c>
      <c r="J146" s="1698"/>
      <c r="K146" s="1700"/>
      <c r="L146" s="1646"/>
      <c r="M146" s="1646"/>
      <c r="N146" s="1646"/>
      <c r="O146" s="1646"/>
      <c r="P146" s="1646"/>
      <c r="Q146" s="1646"/>
      <c r="R146" s="1646"/>
      <c r="S146" s="1646"/>
      <c r="T146" s="657"/>
      <c r="U146" s="1735"/>
      <c r="V146" s="368"/>
      <c r="W146" s="368"/>
    </row>
    <row r="147" spans="1:81" s="411" customFormat="1" ht="42" hidden="1" customHeight="1">
      <c r="A147" s="2227" t="s">
        <v>2169</v>
      </c>
      <c r="B147" s="1829" t="s">
        <v>1520</v>
      </c>
      <c r="C147" s="1792">
        <v>188711925</v>
      </c>
      <c r="D147" s="1435" t="s">
        <v>66</v>
      </c>
      <c r="E147" s="1433">
        <v>0</v>
      </c>
      <c r="F147" s="1433"/>
      <c r="G147" s="1433"/>
      <c r="H147" s="1433"/>
      <c r="I147" s="980"/>
      <c r="J147" s="1698" t="s">
        <v>2499</v>
      </c>
      <c r="K147" s="1795" t="s">
        <v>2383</v>
      </c>
      <c r="L147" s="1753"/>
      <c r="M147" s="1753"/>
      <c r="N147" s="845"/>
      <c r="O147" s="845"/>
      <c r="P147" s="1753"/>
      <c r="Q147" s="1753"/>
      <c r="R147" s="1753"/>
      <c r="S147" s="1646" t="s">
        <v>509</v>
      </c>
      <c r="T147" s="657"/>
      <c r="U147" s="657"/>
      <c r="V147" s="368"/>
      <c r="W147" s="368"/>
      <c r="X147" s="368"/>
      <c r="Y147" s="368"/>
      <c r="Z147" s="368"/>
      <c r="AA147" s="368"/>
      <c r="AB147" s="368"/>
      <c r="AC147" s="368"/>
      <c r="AD147" s="368"/>
      <c r="AE147" s="368"/>
      <c r="AF147" s="368"/>
      <c r="AG147" s="368"/>
      <c r="AH147" s="368"/>
      <c r="AI147" s="368"/>
      <c r="AJ147" s="368"/>
      <c r="AK147" s="368"/>
      <c r="AL147" s="368"/>
      <c r="AM147" s="368"/>
      <c r="AN147" s="368"/>
      <c r="AO147" s="368"/>
      <c r="AP147" s="368"/>
      <c r="AQ147" s="368"/>
      <c r="AR147" s="368"/>
      <c r="AS147" s="368"/>
      <c r="AT147" s="368"/>
      <c r="AU147" s="368"/>
      <c r="AV147" s="368"/>
      <c r="AW147" s="368"/>
      <c r="AX147" s="368"/>
      <c r="AY147" s="368"/>
      <c r="AZ147" s="368"/>
      <c r="BA147" s="368"/>
      <c r="BB147" s="368"/>
      <c r="BC147" s="368"/>
      <c r="BD147" s="368"/>
      <c r="BE147" s="368"/>
      <c r="BF147" s="368"/>
      <c r="BG147" s="368"/>
      <c r="BH147" s="368"/>
      <c r="BI147" s="368"/>
      <c r="BJ147" s="368"/>
      <c r="BK147" s="368"/>
      <c r="BL147" s="368"/>
      <c r="BM147" s="368"/>
      <c r="BN147" s="368"/>
      <c r="BO147" s="368"/>
      <c r="BP147" s="368"/>
      <c r="BQ147" s="368"/>
      <c r="BR147" s="368"/>
      <c r="BS147" s="368"/>
      <c r="BT147" s="368"/>
      <c r="BU147" s="368"/>
      <c r="BV147" s="368"/>
      <c r="BW147" s="368"/>
      <c r="BX147" s="368"/>
      <c r="BY147" s="368"/>
      <c r="BZ147" s="368"/>
      <c r="CA147" s="368"/>
      <c r="CB147" s="368"/>
      <c r="CC147" s="368"/>
    </row>
    <row r="148" spans="1:81" s="411" customFormat="1" ht="42" hidden="1" customHeight="1">
      <c r="A148" s="2227"/>
      <c r="B148" s="1829"/>
      <c r="C148" s="1792"/>
      <c r="D148" s="1436" t="s">
        <v>1321</v>
      </c>
      <c r="E148" s="1433">
        <f>SUM(E147:E147)</f>
        <v>0</v>
      </c>
      <c r="F148" s="1433"/>
      <c r="G148" s="1433"/>
      <c r="H148" s="1433"/>
      <c r="I148" s="980">
        <f t="shared" ref="I148" si="67">SUM(I147:I147)</f>
        <v>0</v>
      </c>
      <c r="J148" s="1698"/>
      <c r="K148" s="1796"/>
      <c r="L148" s="1753"/>
      <c r="M148" s="1753"/>
      <c r="N148" s="845"/>
      <c r="O148" s="845"/>
      <c r="P148" s="1753"/>
      <c r="Q148" s="1753"/>
      <c r="R148" s="1753"/>
      <c r="S148" s="1646"/>
      <c r="T148" s="657"/>
      <c r="U148" s="657"/>
      <c r="V148" s="368"/>
      <c r="W148" s="368"/>
      <c r="X148" s="368"/>
      <c r="Y148" s="368"/>
      <c r="Z148" s="368"/>
      <c r="AA148" s="368"/>
      <c r="AB148" s="368"/>
      <c r="AC148" s="368"/>
      <c r="AD148" s="368"/>
      <c r="AE148" s="368"/>
      <c r="AF148" s="368"/>
      <c r="AG148" s="368"/>
      <c r="AH148" s="368"/>
      <c r="AI148" s="368"/>
      <c r="AJ148" s="368"/>
      <c r="AK148" s="368"/>
      <c r="AL148" s="368"/>
      <c r="AM148" s="368"/>
      <c r="AN148" s="368"/>
      <c r="AO148" s="368"/>
      <c r="AP148" s="368"/>
      <c r="AQ148" s="368"/>
      <c r="AR148" s="368"/>
      <c r="AS148" s="368"/>
      <c r="AT148" s="368"/>
      <c r="AU148" s="368"/>
      <c r="AV148" s="368"/>
      <c r="AW148" s="368"/>
      <c r="AX148" s="368"/>
      <c r="AY148" s="368"/>
      <c r="AZ148" s="368"/>
      <c r="BA148" s="368"/>
      <c r="BB148" s="368"/>
      <c r="BC148" s="368"/>
      <c r="BD148" s="368"/>
      <c r="BE148" s="368"/>
      <c r="BF148" s="368"/>
      <c r="BG148" s="368"/>
      <c r="BH148" s="368"/>
      <c r="BI148" s="368"/>
      <c r="BJ148" s="368"/>
      <c r="BK148" s="368"/>
      <c r="BL148" s="368"/>
      <c r="BM148" s="368"/>
      <c r="BN148" s="368"/>
      <c r="BO148" s="368"/>
      <c r="BP148" s="368"/>
      <c r="BQ148" s="368"/>
      <c r="BR148" s="368"/>
      <c r="BS148" s="368"/>
      <c r="BT148" s="368"/>
      <c r="BU148" s="368"/>
      <c r="BV148" s="368"/>
      <c r="BW148" s="368"/>
      <c r="BX148" s="368"/>
      <c r="BY148" s="368"/>
      <c r="BZ148" s="368"/>
      <c r="CA148" s="368"/>
      <c r="CB148" s="368"/>
      <c r="CC148" s="368"/>
    </row>
    <row r="149" spans="1:81" ht="28.2" customHeight="1">
      <c r="A149" s="1803" t="s">
        <v>2170</v>
      </c>
      <c r="B149" s="1791" t="s">
        <v>3819</v>
      </c>
      <c r="C149" s="1826">
        <v>188711925</v>
      </c>
      <c r="D149" s="724" t="s">
        <v>66</v>
      </c>
      <c r="E149" s="701">
        <v>2375.85</v>
      </c>
      <c r="F149" s="701">
        <v>2158.5230000000001</v>
      </c>
      <c r="G149" s="701">
        <v>1977.7909999999999</v>
      </c>
      <c r="H149" s="702">
        <f>G149/F149</f>
        <v>0.91627052387211061</v>
      </c>
      <c r="I149" s="701"/>
      <c r="J149" s="1698"/>
      <c r="K149" s="1699" t="s">
        <v>2973</v>
      </c>
      <c r="L149" s="1646" t="s">
        <v>726</v>
      </c>
      <c r="M149" s="1646" t="s">
        <v>1711</v>
      </c>
      <c r="N149" s="1646" t="s">
        <v>469</v>
      </c>
      <c r="O149" s="1646" t="s">
        <v>469</v>
      </c>
      <c r="P149" s="1646" t="s">
        <v>613</v>
      </c>
      <c r="Q149" s="1646" t="s">
        <v>613</v>
      </c>
      <c r="R149" s="1646" t="s">
        <v>613</v>
      </c>
      <c r="S149" s="1646"/>
      <c r="T149" s="657"/>
      <c r="U149" s="1735" t="s">
        <v>3548</v>
      </c>
      <c r="V149" s="368"/>
      <c r="W149" s="368"/>
    </row>
    <row r="150" spans="1:81" ht="26.5" customHeight="1">
      <c r="A150" s="1803"/>
      <c r="B150" s="1791"/>
      <c r="C150" s="1826"/>
      <c r="D150" s="724" t="s">
        <v>341</v>
      </c>
      <c r="E150" s="701">
        <v>1204.2070000000001</v>
      </c>
      <c r="F150" s="701">
        <v>1143.9970000000001</v>
      </c>
      <c r="G150" s="701">
        <v>1143.9960000000001</v>
      </c>
      <c r="H150" s="702">
        <f t="shared" ref="H150:H151" si="68">G150/F150</f>
        <v>0.99999912587183359</v>
      </c>
      <c r="I150" s="701"/>
      <c r="J150" s="1698"/>
      <c r="K150" s="1700"/>
      <c r="L150" s="1646"/>
      <c r="M150" s="1646"/>
      <c r="N150" s="1646"/>
      <c r="O150" s="1646"/>
      <c r="P150" s="1646"/>
      <c r="Q150" s="1646"/>
      <c r="R150" s="1646"/>
      <c r="S150" s="1646"/>
      <c r="T150" s="657"/>
      <c r="U150" s="1735"/>
      <c r="V150" s="368"/>
      <c r="W150" s="368"/>
    </row>
    <row r="151" spans="1:81" ht="26.5" customHeight="1">
      <c r="A151" s="1803"/>
      <c r="B151" s="1791"/>
      <c r="C151" s="1826"/>
      <c r="D151" s="724" t="s">
        <v>1554</v>
      </c>
      <c r="E151" s="701">
        <v>411.995</v>
      </c>
      <c r="F151" s="701">
        <v>291.85000000000002</v>
      </c>
      <c r="G151" s="701">
        <v>291.85000000000002</v>
      </c>
      <c r="H151" s="702">
        <f t="shared" si="68"/>
        <v>1</v>
      </c>
      <c r="I151" s="701"/>
      <c r="J151" s="1698"/>
      <c r="K151" s="1700"/>
      <c r="L151" s="1646"/>
      <c r="M151" s="1646"/>
      <c r="N151" s="1646"/>
      <c r="O151" s="1646"/>
      <c r="P151" s="1646"/>
      <c r="Q151" s="1646"/>
      <c r="R151" s="1646"/>
      <c r="S151" s="1646"/>
      <c r="T151" s="657"/>
      <c r="U151" s="1735"/>
      <c r="V151" s="368"/>
      <c r="W151" s="368"/>
    </row>
    <row r="152" spans="1:81" ht="37.200000000000003" customHeight="1">
      <c r="A152" s="1803"/>
      <c r="B152" s="1791"/>
      <c r="C152" s="1826"/>
      <c r="D152" s="727" t="s">
        <v>1321</v>
      </c>
      <c r="E152" s="706">
        <f>SUM(E149:E151)</f>
        <v>3992.0519999999997</v>
      </c>
      <c r="F152" s="706">
        <f t="shared" ref="F152:G152" si="69">SUM(F149:F151)</f>
        <v>3594.3700000000003</v>
      </c>
      <c r="G152" s="706">
        <f t="shared" si="69"/>
        <v>3413.6370000000002</v>
      </c>
      <c r="H152" s="707">
        <f>G152/F152</f>
        <v>0.94971775304156214</v>
      </c>
      <c r="I152" s="706">
        <f t="shared" ref="I152" si="70">SUM(I149:I151)</f>
        <v>0</v>
      </c>
      <c r="J152" s="1698"/>
      <c r="K152" s="1700"/>
      <c r="L152" s="1646"/>
      <c r="M152" s="1646"/>
      <c r="N152" s="1646"/>
      <c r="O152" s="1646"/>
      <c r="P152" s="1646"/>
      <c r="Q152" s="1646"/>
      <c r="R152" s="1646"/>
      <c r="S152" s="1646"/>
      <c r="T152" s="657"/>
      <c r="U152" s="1735"/>
      <c r="V152" s="368"/>
      <c r="W152" s="368"/>
    </row>
    <row r="153" spans="1:81" ht="35.5" customHeight="1">
      <c r="A153" s="1803" t="s">
        <v>2171</v>
      </c>
      <c r="B153" s="1791" t="s">
        <v>1521</v>
      </c>
      <c r="C153" s="1826">
        <v>188711925</v>
      </c>
      <c r="D153" s="724" t="s">
        <v>66</v>
      </c>
      <c r="E153" s="701">
        <v>280</v>
      </c>
      <c r="F153" s="701">
        <v>280</v>
      </c>
      <c r="G153" s="701">
        <v>113.80500000000001</v>
      </c>
      <c r="H153" s="702">
        <f>G153/F153</f>
        <v>0.4064464285714286</v>
      </c>
      <c r="I153" s="701">
        <v>186.3</v>
      </c>
      <c r="J153" s="1698"/>
      <c r="K153" s="1699" t="s">
        <v>3820</v>
      </c>
      <c r="L153" s="1646" t="s">
        <v>402</v>
      </c>
      <c r="M153" s="1646" t="s">
        <v>736</v>
      </c>
      <c r="N153" s="1646" t="s">
        <v>2975</v>
      </c>
      <c r="O153" s="1646" t="s">
        <v>2974</v>
      </c>
      <c r="P153" s="1646" t="s">
        <v>613</v>
      </c>
      <c r="Q153" s="1646" t="s">
        <v>1606</v>
      </c>
      <c r="R153" s="1646" t="s">
        <v>613</v>
      </c>
      <c r="S153" s="1646"/>
      <c r="T153" s="657"/>
      <c r="U153" s="1735" t="s">
        <v>3548</v>
      </c>
      <c r="V153" s="368"/>
      <c r="W153" s="368"/>
    </row>
    <row r="154" spans="1:81" ht="66" customHeight="1">
      <c r="A154" s="1803"/>
      <c r="B154" s="1791"/>
      <c r="C154" s="1826"/>
      <c r="D154" s="727" t="s">
        <v>1321</v>
      </c>
      <c r="E154" s="706">
        <f>E153</f>
        <v>280</v>
      </c>
      <c r="F154" s="706">
        <f t="shared" ref="F154:H154" si="71">F153</f>
        <v>280</v>
      </c>
      <c r="G154" s="706">
        <f t="shared" si="71"/>
        <v>113.80500000000001</v>
      </c>
      <c r="H154" s="707">
        <f t="shared" si="71"/>
        <v>0.4064464285714286</v>
      </c>
      <c r="I154" s="706">
        <f t="shared" ref="I154" si="72">I153</f>
        <v>186.3</v>
      </c>
      <c r="J154" s="1698"/>
      <c r="K154" s="1700"/>
      <c r="L154" s="1646"/>
      <c r="M154" s="1646"/>
      <c r="N154" s="1646"/>
      <c r="O154" s="1646"/>
      <c r="P154" s="1646"/>
      <c r="Q154" s="1646"/>
      <c r="R154" s="1646"/>
      <c r="S154" s="1646"/>
      <c r="T154" s="657"/>
      <c r="U154" s="1735"/>
      <c r="V154" s="368"/>
      <c r="W154" s="368"/>
    </row>
    <row r="155" spans="1:81" ht="33" customHeight="1">
      <c r="A155" s="1803" t="s">
        <v>2172</v>
      </c>
      <c r="B155" s="1791" t="s">
        <v>2702</v>
      </c>
      <c r="C155" s="1826">
        <v>188711925</v>
      </c>
      <c r="D155" s="724" t="s">
        <v>668</v>
      </c>
      <c r="E155" s="701">
        <v>50</v>
      </c>
      <c r="F155" s="701">
        <v>50</v>
      </c>
      <c r="G155" s="701">
        <v>42.457999999999998</v>
      </c>
      <c r="H155" s="702">
        <f>G155/F155</f>
        <v>0.84915999999999991</v>
      </c>
      <c r="I155" s="701">
        <v>65</v>
      </c>
      <c r="J155" s="1698"/>
      <c r="K155" s="1699" t="s">
        <v>3428</v>
      </c>
      <c r="L155" s="1646" t="s">
        <v>958</v>
      </c>
      <c r="M155" s="1646" t="s">
        <v>2976</v>
      </c>
      <c r="N155" s="1646" t="s">
        <v>2977</v>
      </c>
      <c r="O155" s="1646" t="s">
        <v>2978</v>
      </c>
      <c r="P155" s="1646" t="s">
        <v>2384</v>
      </c>
      <c r="Q155" s="1646" t="s">
        <v>2384</v>
      </c>
      <c r="R155" s="1646" t="s">
        <v>2384</v>
      </c>
      <c r="S155" s="1646"/>
      <c r="T155" s="657" t="s">
        <v>2701</v>
      </c>
      <c r="U155" s="1735" t="s">
        <v>3548</v>
      </c>
      <c r="V155" s="368"/>
      <c r="W155" s="368"/>
    </row>
    <row r="156" spans="1:81" ht="38.5" customHeight="1">
      <c r="A156" s="1803"/>
      <c r="B156" s="1791"/>
      <c r="C156" s="1826"/>
      <c r="D156" s="727" t="s">
        <v>1321</v>
      </c>
      <c r="E156" s="706">
        <f>E155</f>
        <v>50</v>
      </c>
      <c r="F156" s="706">
        <f t="shared" ref="F156:H156" si="73">F155</f>
        <v>50</v>
      </c>
      <c r="G156" s="706">
        <f t="shared" si="73"/>
        <v>42.457999999999998</v>
      </c>
      <c r="H156" s="707">
        <f t="shared" si="73"/>
        <v>0.84915999999999991</v>
      </c>
      <c r="I156" s="706">
        <f t="shared" ref="I156" si="74">I155</f>
        <v>65</v>
      </c>
      <c r="J156" s="1698"/>
      <c r="K156" s="1700"/>
      <c r="L156" s="1646"/>
      <c r="M156" s="1646"/>
      <c r="N156" s="1646"/>
      <c r="O156" s="1646"/>
      <c r="P156" s="1646"/>
      <c r="Q156" s="1646"/>
      <c r="R156" s="1646"/>
      <c r="S156" s="1646"/>
      <c r="T156" s="657"/>
      <c r="U156" s="1735"/>
      <c r="V156" s="368"/>
      <c r="W156" s="368"/>
    </row>
    <row r="157" spans="1:81" ht="42" customHeight="1">
      <c r="A157" s="1803" t="s">
        <v>2173</v>
      </c>
      <c r="B157" s="1791" t="s">
        <v>1522</v>
      </c>
      <c r="C157" s="1826">
        <v>188711925</v>
      </c>
      <c r="D157" s="724" t="s">
        <v>66</v>
      </c>
      <c r="E157" s="810"/>
      <c r="F157" s="810"/>
      <c r="G157" s="810"/>
      <c r="H157" s="810"/>
      <c r="I157" s="701">
        <v>5</v>
      </c>
      <c r="J157" s="1698"/>
      <c r="K157" s="1699" t="s">
        <v>3429</v>
      </c>
      <c r="L157" s="1646" t="s">
        <v>3422</v>
      </c>
      <c r="M157" s="1646" t="s">
        <v>1712</v>
      </c>
      <c r="N157" s="1646" t="s">
        <v>469</v>
      </c>
      <c r="O157" s="1646" t="s">
        <v>613</v>
      </c>
      <c r="P157" s="1646" t="s">
        <v>469</v>
      </c>
      <c r="Q157" s="1646" t="s">
        <v>469</v>
      </c>
      <c r="R157" s="1646" t="s">
        <v>469</v>
      </c>
      <c r="S157" s="1646"/>
      <c r="T157" s="657"/>
      <c r="U157" s="1735" t="s">
        <v>3626</v>
      </c>
      <c r="V157" s="368"/>
      <c r="W157" s="368"/>
    </row>
    <row r="158" spans="1:81" ht="36" customHeight="1">
      <c r="A158" s="1803"/>
      <c r="B158" s="1791"/>
      <c r="C158" s="1826"/>
      <c r="D158" s="727" t="s">
        <v>1321</v>
      </c>
      <c r="E158" s="1106"/>
      <c r="F158" s="1106"/>
      <c r="G158" s="1106"/>
      <c r="H158" s="1106"/>
      <c r="I158" s="706">
        <f t="shared" ref="I158" si="75">I157</f>
        <v>5</v>
      </c>
      <c r="J158" s="1698"/>
      <c r="K158" s="1700"/>
      <c r="L158" s="1646"/>
      <c r="M158" s="1646"/>
      <c r="N158" s="1646"/>
      <c r="O158" s="1646"/>
      <c r="P158" s="1646"/>
      <c r="Q158" s="1646"/>
      <c r="R158" s="1646"/>
      <c r="S158" s="1646"/>
      <c r="T158" s="657"/>
      <c r="U158" s="1735"/>
      <c r="V158" s="368"/>
      <c r="W158" s="368"/>
    </row>
    <row r="159" spans="1:81" ht="33" customHeight="1">
      <c r="A159" s="1803" t="s">
        <v>2174</v>
      </c>
      <c r="B159" s="1791" t="s">
        <v>1523</v>
      </c>
      <c r="C159" s="1826">
        <v>188711925</v>
      </c>
      <c r="D159" s="724" t="s">
        <v>66</v>
      </c>
      <c r="E159" s="701">
        <v>10</v>
      </c>
      <c r="F159" s="701">
        <v>10</v>
      </c>
      <c r="G159" s="701"/>
      <c r="H159" s="701"/>
      <c r="I159" s="701">
        <v>0</v>
      </c>
      <c r="J159" s="1701"/>
      <c r="K159" s="1699" t="s">
        <v>2979</v>
      </c>
      <c r="L159" s="1646" t="s">
        <v>3423</v>
      </c>
      <c r="M159" s="1646" t="s">
        <v>1713</v>
      </c>
      <c r="N159" s="1646" t="s">
        <v>469</v>
      </c>
      <c r="O159" s="1646" t="s">
        <v>469</v>
      </c>
      <c r="P159" s="1646" t="s">
        <v>469</v>
      </c>
      <c r="Q159" s="1646" t="s">
        <v>469</v>
      </c>
      <c r="R159" s="1646" t="s">
        <v>469</v>
      </c>
      <c r="S159" s="1646"/>
      <c r="T159" s="657"/>
      <c r="U159" s="1735" t="s">
        <v>3548</v>
      </c>
      <c r="V159" s="368"/>
      <c r="W159" s="368"/>
    </row>
    <row r="160" spans="1:81" ht="33.65" customHeight="1">
      <c r="A160" s="1803"/>
      <c r="B160" s="1791"/>
      <c r="C160" s="1826"/>
      <c r="D160" s="727" t="s">
        <v>1321</v>
      </c>
      <c r="E160" s="706">
        <f>E159</f>
        <v>10</v>
      </c>
      <c r="F160" s="706">
        <f t="shared" ref="F160" si="76">F159</f>
        <v>10</v>
      </c>
      <c r="G160" s="706"/>
      <c r="H160" s="706"/>
      <c r="I160" s="706">
        <f t="shared" ref="I160" si="77">I159</f>
        <v>0</v>
      </c>
      <c r="J160" s="1882"/>
      <c r="K160" s="1700"/>
      <c r="L160" s="1646"/>
      <c r="M160" s="1646"/>
      <c r="N160" s="1646"/>
      <c r="O160" s="1646"/>
      <c r="P160" s="1646"/>
      <c r="Q160" s="1646"/>
      <c r="R160" s="1646"/>
      <c r="S160" s="1646"/>
      <c r="T160" s="657"/>
      <c r="U160" s="1735"/>
      <c r="V160" s="368"/>
      <c r="W160" s="368"/>
    </row>
    <row r="161" spans="1:23" ht="33" customHeight="1">
      <c r="A161" s="1803" t="s">
        <v>2175</v>
      </c>
      <c r="B161" s="1791" t="s">
        <v>3822</v>
      </c>
      <c r="C161" s="1826">
        <v>188711925</v>
      </c>
      <c r="D161" s="724" t="s">
        <v>668</v>
      </c>
      <c r="E161" s="701">
        <v>3</v>
      </c>
      <c r="F161" s="701">
        <v>3</v>
      </c>
      <c r="G161" s="701"/>
      <c r="H161" s="701"/>
      <c r="I161" s="701"/>
      <c r="J161" s="1882"/>
      <c r="K161" s="1699" t="s">
        <v>3429</v>
      </c>
      <c r="L161" s="1646" t="s">
        <v>3424</v>
      </c>
      <c r="M161" s="1646" t="s">
        <v>957</v>
      </c>
      <c r="N161" s="1646" t="s">
        <v>469</v>
      </c>
      <c r="O161" s="1646" t="s">
        <v>613</v>
      </c>
      <c r="P161" s="1646" t="s">
        <v>469</v>
      </c>
      <c r="Q161" s="1646" t="s">
        <v>469</v>
      </c>
      <c r="R161" s="1646" t="s">
        <v>469</v>
      </c>
      <c r="S161" s="1646"/>
      <c r="T161" s="657"/>
      <c r="U161" s="1735" t="s">
        <v>3626</v>
      </c>
      <c r="V161" s="368"/>
      <c r="W161" s="368"/>
    </row>
    <row r="162" spans="1:23" ht="42" customHeight="1">
      <c r="A162" s="1803"/>
      <c r="B162" s="1791"/>
      <c r="C162" s="1826"/>
      <c r="D162" s="727" t="s">
        <v>1321</v>
      </c>
      <c r="E162" s="706">
        <f>E161</f>
        <v>3</v>
      </c>
      <c r="F162" s="706">
        <f>F161</f>
        <v>3</v>
      </c>
      <c r="G162" s="706"/>
      <c r="H162" s="706"/>
      <c r="I162" s="706"/>
      <c r="J162" s="1882"/>
      <c r="K162" s="1700"/>
      <c r="L162" s="1646"/>
      <c r="M162" s="1646"/>
      <c r="N162" s="1646"/>
      <c r="O162" s="1646"/>
      <c r="P162" s="1646"/>
      <c r="Q162" s="1646"/>
      <c r="R162" s="1646"/>
      <c r="S162" s="1646"/>
      <c r="T162" s="657"/>
      <c r="U162" s="1735"/>
      <c r="V162" s="368"/>
      <c r="W162" s="368"/>
    </row>
    <row r="163" spans="1:23" ht="33" customHeight="1">
      <c r="A163" s="1803" t="s">
        <v>2176</v>
      </c>
      <c r="B163" s="1791" t="s">
        <v>1524</v>
      </c>
      <c r="C163" s="1826">
        <v>188711925</v>
      </c>
      <c r="D163" s="724" t="s">
        <v>66</v>
      </c>
      <c r="E163" s="701">
        <v>1</v>
      </c>
      <c r="F163" s="701"/>
      <c r="G163" s="701"/>
      <c r="H163" s="701"/>
      <c r="I163" s="701"/>
      <c r="J163" s="1882"/>
      <c r="K163" s="1699" t="s">
        <v>3691</v>
      </c>
      <c r="L163" s="1646" t="s">
        <v>3425</v>
      </c>
      <c r="M163" s="1646" t="s">
        <v>1714</v>
      </c>
      <c r="N163" s="1646" t="s">
        <v>613</v>
      </c>
      <c r="O163" s="1646" t="s">
        <v>613</v>
      </c>
      <c r="P163" s="1646" t="s">
        <v>469</v>
      </c>
      <c r="Q163" s="1646" t="s">
        <v>469</v>
      </c>
      <c r="R163" s="1646" t="s">
        <v>469</v>
      </c>
      <c r="S163" s="1646"/>
      <c r="T163" s="657"/>
      <c r="U163" s="1735" t="s">
        <v>3548</v>
      </c>
      <c r="V163" s="368"/>
      <c r="W163" s="368"/>
    </row>
    <row r="164" spans="1:23" ht="34.200000000000003" customHeight="1">
      <c r="A164" s="1843"/>
      <c r="B164" s="2011"/>
      <c r="C164" s="2019"/>
      <c r="D164" s="727" t="s">
        <v>1321</v>
      </c>
      <c r="E164" s="706">
        <f>E163</f>
        <v>1</v>
      </c>
      <c r="F164" s="706"/>
      <c r="G164" s="706"/>
      <c r="H164" s="706"/>
      <c r="I164" s="706"/>
      <c r="J164" s="1702"/>
      <c r="K164" s="1700"/>
      <c r="L164" s="1646"/>
      <c r="M164" s="1646"/>
      <c r="N164" s="1646"/>
      <c r="O164" s="1646"/>
      <c r="P164" s="1646"/>
      <c r="Q164" s="1646"/>
      <c r="R164" s="1646"/>
      <c r="S164" s="1646"/>
      <c r="T164" s="657"/>
      <c r="U164" s="1735"/>
      <c r="V164" s="368"/>
      <c r="W164" s="368"/>
    </row>
    <row r="165" spans="1:23" s="378" customFormat="1" ht="42" customHeight="1">
      <c r="A165" s="501" t="s">
        <v>2186</v>
      </c>
      <c r="B165" s="496" t="s">
        <v>1525</v>
      </c>
      <c r="C165" s="501"/>
      <c r="D165" s="501"/>
      <c r="E165" s="502">
        <f>SUM(E167,E170,)</f>
        <v>120</v>
      </c>
      <c r="F165" s="502">
        <f t="shared" ref="F165:G165" si="78">SUM(F167,F170,)</f>
        <v>120</v>
      </c>
      <c r="G165" s="502">
        <f t="shared" si="78"/>
        <v>0</v>
      </c>
      <c r="H165" s="539">
        <f>G165/F165</f>
        <v>0</v>
      </c>
      <c r="I165" s="502">
        <f t="shared" ref="I165" si="79">SUM(I167,I170,)</f>
        <v>339.06900000000002</v>
      </c>
      <c r="J165" s="501" t="s">
        <v>1241</v>
      </c>
      <c r="K165" s="2174"/>
      <c r="L165" s="2174"/>
      <c r="M165" s="2174"/>
      <c r="N165" s="2174"/>
      <c r="O165" s="2174"/>
      <c r="P165" s="2174"/>
      <c r="Q165" s="2174"/>
      <c r="R165" s="2174"/>
      <c r="S165" s="2174"/>
      <c r="T165" s="2174"/>
      <c r="U165" s="2174"/>
    </row>
    <row r="166" spans="1:23" ht="35.5" customHeight="1">
      <c r="A166" s="1803" t="s">
        <v>2177</v>
      </c>
      <c r="B166" s="1791" t="s">
        <v>1526</v>
      </c>
      <c r="C166" s="1826">
        <v>188711925</v>
      </c>
      <c r="D166" s="724" t="s">
        <v>668</v>
      </c>
      <c r="E166" s="701">
        <v>20</v>
      </c>
      <c r="F166" s="701">
        <v>20</v>
      </c>
      <c r="G166" s="701"/>
      <c r="H166" s="702"/>
      <c r="I166" s="701">
        <v>25</v>
      </c>
      <c r="J166" s="1701" t="s">
        <v>2292</v>
      </c>
      <c r="K166" s="1699" t="s">
        <v>3430</v>
      </c>
      <c r="L166" s="1646" t="s">
        <v>278</v>
      </c>
      <c r="M166" s="1646" t="s">
        <v>1715</v>
      </c>
      <c r="N166" s="1646" t="s">
        <v>1568</v>
      </c>
      <c r="O166" s="1646" t="s">
        <v>1568</v>
      </c>
      <c r="P166" s="1646" t="s">
        <v>1568</v>
      </c>
      <c r="Q166" s="1646" t="s">
        <v>1568</v>
      </c>
      <c r="R166" s="1646" t="s">
        <v>1568</v>
      </c>
      <c r="S166" s="1646" t="s">
        <v>2493</v>
      </c>
      <c r="T166" s="657"/>
      <c r="U166" s="1735" t="s">
        <v>3548</v>
      </c>
      <c r="V166" s="368"/>
      <c r="W166" s="368"/>
    </row>
    <row r="167" spans="1:23" ht="31.2" customHeight="1">
      <c r="A167" s="1803"/>
      <c r="B167" s="1791"/>
      <c r="C167" s="1826"/>
      <c r="D167" s="727" t="s">
        <v>1321</v>
      </c>
      <c r="E167" s="706">
        <f>E166</f>
        <v>20</v>
      </c>
      <c r="F167" s="706">
        <f t="shared" ref="F167" si="80">F166</f>
        <v>20</v>
      </c>
      <c r="G167" s="706"/>
      <c r="H167" s="707"/>
      <c r="I167" s="706">
        <f t="shared" ref="I167" si="81">I166</f>
        <v>25</v>
      </c>
      <c r="J167" s="1882"/>
      <c r="K167" s="2225"/>
      <c r="L167" s="1646"/>
      <c r="M167" s="1646"/>
      <c r="N167" s="1646"/>
      <c r="O167" s="1646"/>
      <c r="P167" s="1646"/>
      <c r="Q167" s="1646"/>
      <c r="R167" s="1646"/>
      <c r="S167" s="1646"/>
      <c r="T167" s="657"/>
      <c r="U167" s="1735"/>
      <c r="V167" s="368"/>
      <c r="W167" s="368"/>
    </row>
    <row r="168" spans="1:23" ht="34.200000000000003" customHeight="1">
      <c r="A168" s="1803" t="s">
        <v>2178</v>
      </c>
      <c r="B168" s="1791" t="s">
        <v>3821</v>
      </c>
      <c r="C168" s="1826">
        <v>188711925</v>
      </c>
      <c r="D168" s="724" t="s">
        <v>66</v>
      </c>
      <c r="E168" s="701">
        <v>100</v>
      </c>
      <c r="F168" s="701">
        <v>100</v>
      </c>
      <c r="G168" s="701"/>
      <c r="H168" s="702"/>
      <c r="I168" s="701">
        <v>314.06900000000002</v>
      </c>
      <c r="J168" s="1882"/>
      <c r="K168" s="1699" t="s">
        <v>3823</v>
      </c>
      <c r="L168" s="1646" t="s">
        <v>90</v>
      </c>
      <c r="M168" s="1646" t="s">
        <v>2980</v>
      </c>
      <c r="N168" s="1646" t="s">
        <v>613</v>
      </c>
      <c r="O168" s="1646" t="s">
        <v>613</v>
      </c>
      <c r="P168" s="1646" t="s">
        <v>1568</v>
      </c>
      <c r="Q168" s="1646" t="s">
        <v>613</v>
      </c>
      <c r="R168" s="1646" t="s">
        <v>613</v>
      </c>
      <c r="S168" s="1646"/>
      <c r="T168" s="657"/>
      <c r="U168" s="1735" t="s">
        <v>3626</v>
      </c>
      <c r="V168" s="368"/>
      <c r="W168" s="368"/>
    </row>
    <row r="169" spans="1:23" ht="30" hidden="1" customHeight="1">
      <c r="A169" s="1803"/>
      <c r="B169" s="1791"/>
      <c r="C169" s="1826"/>
      <c r="D169" s="724" t="s">
        <v>1554</v>
      </c>
      <c r="E169" s="643"/>
      <c r="F169" s="643"/>
      <c r="G169" s="643"/>
      <c r="H169" s="1437"/>
      <c r="I169" s="643"/>
      <c r="J169" s="1882"/>
      <c r="K169" s="1700"/>
      <c r="L169" s="1646"/>
      <c r="M169" s="1646"/>
      <c r="N169" s="1646"/>
      <c r="O169" s="1646"/>
      <c r="P169" s="1646"/>
      <c r="Q169" s="1646"/>
      <c r="R169" s="1646"/>
      <c r="S169" s="1646"/>
      <c r="T169" s="657"/>
      <c r="U169" s="1735"/>
      <c r="V169" s="368"/>
      <c r="W169" s="368"/>
    </row>
    <row r="170" spans="1:23" ht="52.5" customHeight="1">
      <c r="A170" s="1803"/>
      <c r="B170" s="1791"/>
      <c r="C170" s="1826"/>
      <c r="D170" s="727" t="s">
        <v>1321</v>
      </c>
      <c r="E170" s="706">
        <f>E168</f>
        <v>100</v>
      </c>
      <c r="F170" s="706">
        <f t="shared" ref="F170" si="82">F168</f>
        <v>100</v>
      </c>
      <c r="G170" s="706"/>
      <c r="H170" s="1438"/>
      <c r="I170" s="706">
        <f t="shared" ref="I170" si="83">I168</f>
        <v>314.06900000000002</v>
      </c>
      <c r="J170" s="1702"/>
      <c r="K170" s="1700"/>
      <c r="L170" s="1646"/>
      <c r="M170" s="1646"/>
      <c r="N170" s="1646"/>
      <c r="O170" s="1646"/>
      <c r="P170" s="1646"/>
      <c r="Q170" s="1646"/>
      <c r="R170" s="1646"/>
      <c r="S170" s="1646"/>
      <c r="T170" s="657"/>
      <c r="U170" s="1735"/>
      <c r="V170" s="368"/>
      <c r="W170" s="368"/>
    </row>
    <row r="171" spans="1:23" ht="42" customHeight="1">
      <c r="A171" s="501" t="s">
        <v>2185</v>
      </c>
      <c r="B171" s="496" t="s">
        <v>2494</v>
      </c>
      <c r="C171" s="501"/>
      <c r="D171" s="501"/>
      <c r="E171" s="502">
        <f>E173</f>
        <v>40</v>
      </c>
      <c r="F171" s="502">
        <f t="shared" ref="F171:G171" si="84">F173</f>
        <v>40</v>
      </c>
      <c r="G171" s="502">
        <f t="shared" si="84"/>
        <v>39.951999999999998</v>
      </c>
      <c r="H171" s="539">
        <f t="shared" ref="H171:H177" si="85">G171/F171</f>
        <v>0.99879999999999991</v>
      </c>
      <c r="I171" s="502">
        <f t="shared" ref="I171" si="86">I173</f>
        <v>40</v>
      </c>
      <c r="J171" s="501" t="s">
        <v>1234</v>
      </c>
      <c r="K171" s="1651"/>
      <c r="L171" s="1652"/>
      <c r="M171" s="1652"/>
      <c r="N171" s="1652"/>
      <c r="O171" s="1756"/>
      <c r="P171" s="501">
        <v>21.37</v>
      </c>
      <c r="Q171" s="501">
        <v>21.37</v>
      </c>
      <c r="R171" s="501">
        <v>21.37</v>
      </c>
      <c r="S171" s="1637" t="s">
        <v>2491</v>
      </c>
      <c r="T171" s="1053"/>
      <c r="U171" s="1381"/>
      <c r="V171" s="368"/>
      <c r="W171" s="368"/>
    </row>
    <row r="172" spans="1:23" ht="42" customHeight="1">
      <c r="A172" s="1767" t="s">
        <v>2179</v>
      </c>
      <c r="B172" s="1824" t="s">
        <v>1527</v>
      </c>
      <c r="C172" s="1828">
        <v>188711925</v>
      </c>
      <c r="D172" s="733" t="s">
        <v>668</v>
      </c>
      <c r="E172" s="734">
        <v>40</v>
      </c>
      <c r="F172" s="734">
        <v>40</v>
      </c>
      <c r="G172" s="734">
        <v>39.951999999999998</v>
      </c>
      <c r="H172" s="803">
        <f t="shared" si="85"/>
        <v>0.99879999999999991</v>
      </c>
      <c r="I172" s="734">
        <v>40</v>
      </c>
      <c r="J172" s="1701" t="s">
        <v>2291</v>
      </c>
      <c r="K172" s="1699" t="s">
        <v>3824</v>
      </c>
      <c r="L172" s="1646" t="s">
        <v>164</v>
      </c>
      <c r="M172" s="1646" t="s">
        <v>2981</v>
      </c>
      <c r="N172" s="1646" t="s">
        <v>612</v>
      </c>
      <c r="O172" s="1646" t="s">
        <v>612</v>
      </c>
      <c r="P172" s="1638" t="s">
        <v>1568</v>
      </c>
      <c r="Q172" s="1638" t="s">
        <v>1568</v>
      </c>
      <c r="R172" s="1638" t="s">
        <v>1568</v>
      </c>
      <c r="S172" s="1638"/>
      <c r="T172" s="1200"/>
      <c r="U172" s="1991" t="s">
        <v>3548</v>
      </c>
      <c r="V172" s="368"/>
      <c r="W172" s="368"/>
    </row>
    <row r="173" spans="1:23" ht="66.650000000000006" customHeight="1">
      <c r="A173" s="1803"/>
      <c r="B173" s="1791"/>
      <c r="C173" s="1826"/>
      <c r="D173" s="727" t="s">
        <v>1321</v>
      </c>
      <c r="E173" s="706">
        <f>E172</f>
        <v>40</v>
      </c>
      <c r="F173" s="706">
        <f t="shared" ref="F173:G173" si="87">F172</f>
        <v>40</v>
      </c>
      <c r="G173" s="706">
        <f t="shared" si="87"/>
        <v>39.951999999999998</v>
      </c>
      <c r="H173" s="707">
        <f t="shared" si="85"/>
        <v>0.99879999999999991</v>
      </c>
      <c r="I173" s="706">
        <f t="shared" ref="I173" si="88">I172</f>
        <v>40</v>
      </c>
      <c r="J173" s="1702"/>
      <c r="K173" s="1700"/>
      <c r="L173" s="1646"/>
      <c r="M173" s="1646"/>
      <c r="N173" s="1646"/>
      <c r="O173" s="1646"/>
      <c r="P173" s="1638"/>
      <c r="Q173" s="1638"/>
      <c r="R173" s="1638"/>
      <c r="S173" s="1638"/>
      <c r="T173" s="1200"/>
      <c r="U173" s="1993"/>
      <c r="V173" s="368"/>
      <c r="W173" s="368"/>
    </row>
    <row r="174" spans="1:23" s="378" customFormat="1" ht="67.95" customHeight="1">
      <c r="A174" s="501" t="s">
        <v>2183</v>
      </c>
      <c r="B174" s="496" t="s">
        <v>2184</v>
      </c>
      <c r="C174" s="501"/>
      <c r="D174" s="501"/>
      <c r="E174" s="502">
        <f>E176</f>
        <v>232.92</v>
      </c>
      <c r="F174" s="502">
        <f t="shared" ref="F174:G174" si="89">F176</f>
        <v>227.35400000000001</v>
      </c>
      <c r="G174" s="502">
        <f t="shared" si="89"/>
        <v>155.21799999999999</v>
      </c>
      <c r="H174" s="539">
        <f t="shared" si="85"/>
        <v>0.6827150610941527</v>
      </c>
      <c r="I174" s="502">
        <f t="shared" ref="I174" si="90">I176</f>
        <v>60</v>
      </c>
      <c r="J174" s="501" t="s">
        <v>1241</v>
      </c>
      <c r="K174" s="2075"/>
      <c r="L174" s="2075"/>
      <c r="M174" s="2075"/>
      <c r="N174" s="2075"/>
      <c r="O174" s="2075"/>
      <c r="P174" s="2075"/>
      <c r="Q174" s="2075"/>
      <c r="R174" s="2075"/>
      <c r="S174" s="2075"/>
      <c r="T174" s="2075"/>
      <c r="U174" s="2075"/>
    </row>
    <row r="175" spans="1:23" ht="42" customHeight="1">
      <c r="A175" s="1767" t="s">
        <v>2180</v>
      </c>
      <c r="B175" s="1824" t="s">
        <v>1528</v>
      </c>
      <c r="C175" s="1828">
        <v>188711925</v>
      </c>
      <c r="D175" s="733" t="s">
        <v>668</v>
      </c>
      <c r="E175" s="734">
        <v>232.92</v>
      </c>
      <c r="F175" s="734">
        <v>227.35400000000001</v>
      </c>
      <c r="G175" s="734">
        <v>155.21799999999999</v>
      </c>
      <c r="H175" s="803">
        <f t="shared" si="85"/>
        <v>0.6827150610941527</v>
      </c>
      <c r="I175" s="734">
        <v>60</v>
      </c>
      <c r="J175" s="1701" t="s">
        <v>2290</v>
      </c>
      <c r="K175" s="1699" t="s">
        <v>3825</v>
      </c>
      <c r="L175" s="1646" t="s">
        <v>165</v>
      </c>
      <c r="M175" s="1646" t="s">
        <v>1716</v>
      </c>
      <c r="N175" s="1646" t="s">
        <v>612</v>
      </c>
      <c r="O175" s="1646" t="s">
        <v>613</v>
      </c>
      <c r="P175" s="1638" t="s">
        <v>1568</v>
      </c>
      <c r="Q175" s="1638" t="s">
        <v>613</v>
      </c>
      <c r="R175" s="1638" t="s">
        <v>613</v>
      </c>
      <c r="S175" s="1638" t="s">
        <v>2490</v>
      </c>
      <c r="T175" s="1200"/>
      <c r="U175" s="1992" t="s">
        <v>3626</v>
      </c>
      <c r="V175" s="368"/>
      <c r="W175" s="368"/>
    </row>
    <row r="176" spans="1:23" ht="41.25" customHeight="1">
      <c r="A176" s="1803"/>
      <c r="B176" s="1791"/>
      <c r="C176" s="1826"/>
      <c r="D176" s="727" t="s">
        <v>1321</v>
      </c>
      <c r="E176" s="706">
        <f>E175</f>
        <v>232.92</v>
      </c>
      <c r="F176" s="706">
        <f t="shared" ref="F176:G176" si="91">F175</f>
        <v>227.35400000000001</v>
      </c>
      <c r="G176" s="706">
        <f t="shared" si="91"/>
        <v>155.21799999999999</v>
      </c>
      <c r="H176" s="707">
        <f t="shared" si="85"/>
        <v>0.6827150610941527</v>
      </c>
      <c r="I176" s="706">
        <f t="shared" ref="I176" si="92">I175</f>
        <v>60</v>
      </c>
      <c r="J176" s="1702"/>
      <c r="K176" s="1700"/>
      <c r="L176" s="1646"/>
      <c r="M176" s="1646"/>
      <c r="N176" s="1646"/>
      <c r="O176" s="1646"/>
      <c r="P176" s="1638"/>
      <c r="Q176" s="1638"/>
      <c r="R176" s="1638"/>
      <c r="S176" s="1639"/>
      <c r="T176" s="1200"/>
      <c r="U176" s="1993"/>
      <c r="V176" s="368"/>
      <c r="W176" s="368"/>
    </row>
    <row r="177" spans="1:23" s="378" customFormat="1" ht="42" customHeight="1">
      <c r="A177" s="501" t="s">
        <v>2182</v>
      </c>
      <c r="B177" s="496" t="s">
        <v>2489</v>
      </c>
      <c r="C177" s="501"/>
      <c r="D177" s="501"/>
      <c r="E177" s="502">
        <f>E179</f>
        <v>50</v>
      </c>
      <c r="F177" s="502">
        <f t="shared" ref="F177:G177" si="93">F179</f>
        <v>50</v>
      </c>
      <c r="G177" s="502">
        <f t="shared" si="93"/>
        <v>0</v>
      </c>
      <c r="H177" s="539">
        <f t="shared" si="85"/>
        <v>0</v>
      </c>
      <c r="I177" s="502">
        <f t="shared" ref="I177" si="94">I179</f>
        <v>150</v>
      </c>
      <c r="J177" s="501" t="s">
        <v>1241</v>
      </c>
      <c r="K177" s="1875"/>
      <c r="L177" s="1876"/>
      <c r="M177" s="1876"/>
      <c r="N177" s="1876"/>
      <c r="O177" s="1876"/>
      <c r="P177" s="1876"/>
      <c r="Q177" s="1876"/>
      <c r="R177" s="1876"/>
      <c r="S177" s="1876"/>
      <c r="T177" s="1876"/>
      <c r="U177" s="1877"/>
    </row>
    <row r="178" spans="1:23" ht="38.5" customHeight="1">
      <c r="A178" s="1767" t="s">
        <v>2181</v>
      </c>
      <c r="B178" s="1824" t="s">
        <v>2508</v>
      </c>
      <c r="C178" s="1828">
        <v>188711925</v>
      </c>
      <c r="D178" s="733" t="s">
        <v>66</v>
      </c>
      <c r="E178" s="734">
        <v>50</v>
      </c>
      <c r="F178" s="734">
        <v>50</v>
      </c>
      <c r="G178" s="734">
        <v>0</v>
      </c>
      <c r="H178" s="734"/>
      <c r="I178" s="734">
        <v>150</v>
      </c>
      <c r="J178" s="1698" t="s">
        <v>2289</v>
      </c>
      <c r="K178" s="1699" t="s">
        <v>3826</v>
      </c>
      <c r="L178" s="1646" t="s">
        <v>3426</v>
      </c>
      <c r="M178" s="1646" t="s">
        <v>1717</v>
      </c>
      <c r="N178" s="1646" t="s">
        <v>469</v>
      </c>
      <c r="O178" s="1646" t="s">
        <v>469</v>
      </c>
      <c r="P178" s="1638" t="s">
        <v>469</v>
      </c>
      <c r="Q178" s="1638" t="s">
        <v>613</v>
      </c>
      <c r="R178" s="1638" t="s">
        <v>613</v>
      </c>
      <c r="S178" s="1638" t="s">
        <v>2492</v>
      </c>
      <c r="T178" s="1200"/>
      <c r="U178" s="1991" t="s">
        <v>3548</v>
      </c>
      <c r="V178" s="368"/>
      <c r="W178" s="368"/>
    </row>
    <row r="179" spans="1:23" ht="73.2" customHeight="1">
      <c r="A179" s="1803"/>
      <c r="B179" s="1791"/>
      <c r="C179" s="1826"/>
      <c r="D179" s="727" t="s">
        <v>1321</v>
      </c>
      <c r="E179" s="706">
        <f>E178</f>
        <v>50</v>
      </c>
      <c r="F179" s="706">
        <f t="shared" ref="F179:G179" si="95">F178</f>
        <v>50</v>
      </c>
      <c r="G179" s="706">
        <f t="shared" si="95"/>
        <v>0</v>
      </c>
      <c r="H179" s="706"/>
      <c r="I179" s="706">
        <f t="shared" ref="I179" si="96">I178</f>
        <v>150</v>
      </c>
      <c r="J179" s="1698"/>
      <c r="K179" s="1700"/>
      <c r="L179" s="1646"/>
      <c r="M179" s="1646"/>
      <c r="N179" s="1646"/>
      <c r="O179" s="1646"/>
      <c r="P179" s="1638"/>
      <c r="Q179" s="1638"/>
      <c r="R179" s="1638"/>
      <c r="S179" s="1638"/>
      <c r="T179" s="1200"/>
      <c r="U179" s="1993"/>
      <c r="V179" s="368"/>
      <c r="W179" s="368"/>
    </row>
    <row r="180" spans="1:23" ht="65.5" customHeight="1">
      <c r="A180" s="1697"/>
      <c r="B180" s="1697"/>
      <c r="C180" s="1697"/>
      <c r="D180" s="1697"/>
      <c r="E180" s="1287" t="s">
        <v>2857</v>
      </c>
      <c r="F180" s="1287" t="s">
        <v>2874</v>
      </c>
      <c r="G180" s="1287" t="s">
        <v>2858</v>
      </c>
      <c r="H180" s="1287" t="s">
        <v>2859</v>
      </c>
      <c r="I180" s="807" t="str">
        <f>I21</f>
        <v>2024  m.asignavimų  planas, tūkst. Eur</v>
      </c>
      <c r="J180" s="1081"/>
      <c r="K180" s="1518"/>
      <c r="L180" s="1082"/>
      <c r="M180" s="1082"/>
      <c r="N180" s="1872"/>
      <c r="O180" s="1872"/>
      <c r="P180" s="1872"/>
      <c r="Q180" s="1872"/>
      <c r="R180" s="1872"/>
      <c r="S180" s="1872"/>
      <c r="T180" s="1872"/>
      <c r="U180" s="1873"/>
      <c r="V180" s="368"/>
      <c r="W180" s="368"/>
    </row>
    <row r="181" spans="1:23" ht="31.2" customHeight="1">
      <c r="A181" s="1984" t="s">
        <v>986</v>
      </c>
      <c r="B181" s="1985"/>
      <c r="C181" s="1985"/>
      <c r="D181" s="1987"/>
      <c r="E181" s="729">
        <f>SUM(E182,E183,E184,E185,E186,E187,)</f>
        <v>13777.986999999999</v>
      </c>
      <c r="F181" s="729">
        <f t="shared" ref="F181:G181" si="97">SUM(F182,F183,F184,F185,F186,F187,)</f>
        <v>14301.78</v>
      </c>
      <c r="G181" s="729">
        <f t="shared" si="97"/>
        <v>12988.987999999999</v>
      </c>
      <c r="H181" s="1395">
        <f>G181/F181</f>
        <v>0.90820778951990588</v>
      </c>
      <c r="I181" s="729">
        <f>SUM(I182,I183,I184,I185,I186,I187,)</f>
        <v>4733.369999999999</v>
      </c>
      <c r="J181" s="478"/>
      <c r="K181" s="1538"/>
      <c r="L181" s="1199"/>
      <c r="M181" s="1199"/>
      <c r="N181" s="1199"/>
      <c r="O181" s="478"/>
      <c r="P181" s="478"/>
      <c r="Q181" s="478"/>
      <c r="R181" s="478"/>
      <c r="S181" s="478"/>
      <c r="T181" s="1200"/>
      <c r="U181" s="1200"/>
      <c r="V181" s="368"/>
      <c r="W181" s="368"/>
    </row>
    <row r="182" spans="1:23" ht="43.2" customHeight="1">
      <c r="A182" s="1981" t="s">
        <v>1947</v>
      </c>
      <c r="B182" s="1982"/>
      <c r="C182" s="1982"/>
      <c r="D182" s="1983"/>
      <c r="E182" s="701">
        <f>SUM(E24,E26,E28,E32,E35,E41,E45,E49,E51,E53,E59,E61,E64,E70,E72,E76,E86,E96,E101,E112,E136,E139,E142,E145,E147,E149,E153,E155,E157,E159,E161,E163,E166,E168,E172,E175,E178,)</f>
        <v>7261.6260000000002</v>
      </c>
      <c r="F182" s="701">
        <f>SUM(F24,F26,F28,F32,F35,F41,F45,F49,F51,F53,F59,F61,F64,F70,F72,F76,F86,F96,F101,F112,F136,F139,F142,F145,F147,F149,F153,F155,F157,F159,F161,F163,F166,F168,F172,F175,F178,)</f>
        <v>7358.4260000000013</v>
      </c>
      <c r="G182" s="701">
        <f t="shared" ref="G182" si="98">SUM(G24,G26,G28,G32,G35,G41,G45,G49,G51,G53,G59,G61,G64,G70,G72,G76,G86,G96,G101,G112,G136,G139,G142,G145,G147,G149,G153,G155,G157,G159,G161,G163,G166,G168,G172,G175,G178,)</f>
        <v>5489.8990000000003</v>
      </c>
      <c r="H182" s="1395">
        <f t="shared" ref="H182:H191" si="99">G182/F182</f>
        <v>0.74606974371964863</v>
      </c>
      <c r="I182" s="701">
        <f>SUM(I24,I26,I28,I32,I41,I45,I49,I51,I59,I61,I64,I86,I96,I112,I136,I139,I142,I145,I147,I149,I153,I155,I157,I159,I161,I163,I166,I172,I175,I67)</f>
        <v>1488.3799999999999</v>
      </c>
      <c r="J182" s="742"/>
      <c r="K182" s="1504"/>
      <c r="L182" s="478"/>
      <c r="M182" s="478"/>
      <c r="N182" s="478"/>
      <c r="O182" s="478"/>
      <c r="P182" s="478"/>
      <c r="Q182" s="478"/>
      <c r="R182" s="478"/>
      <c r="S182" s="478"/>
      <c r="T182" s="1200"/>
      <c r="U182" s="1200"/>
      <c r="V182" s="368"/>
      <c r="W182" s="368"/>
    </row>
    <row r="183" spans="1:23" ht="30.65" customHeight="1">
      <c r="A183" s="1981" t="s">
        <v>988</v>
      </c>
      <c r="B183" s="1982"/>
      <c r="C183" s="1982"/>
      <c r="D183" s="1983"/>
      <c r="E183" s="701">
        <f>SUM(E37,E43,E46,E55,E103,)</f>
        <v>1229.1479999999999</v>
      </c>
      <c r="F183" s="701">
        <f t="shared" ref="F183" si="100">SUM(F37,F43,F46,F55,F103,)</f>
        <v>1224.7760000000001</v>
      </c>
      <c r="G183" s="701">
        <f>SUM(G37,G43,G46,G55,G103,)</f>
        <v>1224.46</v>
      </c>
      <c r="H183" s="1395">
        <f t="shared" si="99"/>
        <v>0.9997419936380203</v>
      </c>
      <c r="I183" s="701">
        <f>SUM(I37,I43,I46,I55,I103,)</f>
        <v>1121.7</v>
      </c>
      <c r="J183" s="1295"/>
      <c r="K183" s="1504"/>
      <c r="L183" s="478"/>
      <c r="M183" s="478"/>
      <c r="N183" s="478"/>
      <c r="O183" s="478"/>
      <c r="P183" s="478"/>
      <c r="Q183" s="478"/>
      <c r="R183" s="478"/>
      <c r="S183" s="478"/>
      <c r="T183" s="1200"/>
      <c r="U183" s="1200"/>
      <c r="V183" s="368"/>
      <c r="W183" s="368"/>
    </row>
    <row r="184" spans="1:23" ht="23.5" customHeight="1">
      <c r="A184" s="1981" t="s">
        <v>989</v>
      </c>
      <c r="B184" s="1982"/>
      <c r="C184" s="1982"/>
      <c r="D184" s="1983"/>
      <c r="E184" s="701">
        <f>SUM(E97)</f>
        <v>4</v>
      </c>
      <c r="F184" s="701">
        <f t="shared" ref="F184:G184" si="101">SUM(F97)</f>
        <v>4</v>
      </c>
      <c r="G184" s="701">
        <f t="shared" si="101"/>
        <v>4</v>
      </c>
      <c r="H184" s="1395">
        <f t="shared" si="99"/>
        <v>1</v>
      </c>
      <c r="I184" s="701">
        <f>SUM(I97,I114)</f>
        <v>14.5</v>
      </c>
      <c r="J184" s="742"/>
      <c r="K184" s="1504"/>
      <c r="L184" s="478"/>
      <c r="M184" s="478"/>
      <c r="N184" s="478"/>
      <c r="O184" s="478"/>
      <c r="P184" s="478"/>
      <c r="Q184" s="478"/>
      <c r="R184" s="478"/>
      <c r="S184" s="478"/>
      <c r="T184" s="1200"/>
      <c r="U184" s="1200"/>
      <c r="V184" s="368"/>
      <c r="W184" s="368"/>
    </row>
    <row r="185" spans="1:23" ht="34.200000000000003" customHeight="1">
      <c r="A185" s="1981" t="s">
        <v>2695</v>
      </c>
      <c r="B185" s="1982"/>
      <c r="C185" s="1982"/>
      <c r="D185" s="1983"/>
      <c r="E185" s="701">
        <f>SUM(E36,E42,E54,E65,E79,E104,E108,E150,)</f>
        <v>3313.223</v>
      </c>
      <c r="F185" s="701">
        <f>SUM(F36,F42,F54,F65,F79,F104,F108,F150,)</f>
        <v>3864.7330000000002</v>
      </c>
      <c r="G185" s="701">
        <f>SUM(G36,G42,G54,G65,G79,G104,G108,G150,)</f>
        <v>4620.3819999999996</v>
      </c>
      <c r="H185" s="1395">
        <f t="shared" si="99"/>
        <v>1.1955242444950271</v>
      </c>
      <c r="I185" s="701">
        <f>I79+I36</f>
        <v>25.507999999999999</v>
      </c>
      <c r="J185" s="742"/>
      <c r="K185" s="1504"/>
      <c r="L185" s="478"/>
      <c r="M185" s="478"/>
      <c r="N185" s="478"/>
      <c r="O185" s="478"/>
      <c r="P185" s="478"/>
      <c r="Q185" s="478"/>
      <c r="R185" s="478"/>
      <c r="S185" s="478"/>
      <c r="T185" s="1200"/>
      <c r="U185" s="1200"/>
      <c r="V185" s="368"/>
      <c r="W185" s="368"/>
    </row>
    <row r="186" spans="1:23" ht="26.5" customHeight="1">
      <c r="A186" s="1981" t="s">
        <v>990</v>
      </c>
      <c r="B186" s="1982"/>
      <c r="C186" s="1982"/>
      <c r="D186" s="1983"/>
      <c r="E186" s="701">
        <f>SUM(E56,E74,E78,E105,E151,E169,)</f>
        <v>1969.9899999999998</v>
      </c>
      <c r="F186" s="701">
        <f t="shared" ref="F186:G186" si="102">SUM(F56,F74,F78,F105,F151,F169,)</f>
        <v>1849.8449999999998</v>
      </c>
      <c r="G186" s="701">
        <f t="shared" si="102"/>
        <v>1650.2469999999998</v>
      </c>
      <c r="H186" s="1395">
        <f t="shared" si="99"/>
        <v>0.892100148931397</v>
      </c>
      <c r="I186" s="701">
        <f>SUM(I56,I74,I78,I105,I151,I169,)</f>
        <v>225.05700000000002</v>
      </c>
      <c r="J186" s="742"/>
      <c r="K186" s="1504"/>
      <c r="L186" s="478"/>
      <c r="M186" s="478"/>
      <c r="N186" s="478"/>
      <c r="O186" s="478"/>
      <c r="P186" s="478"/>
      <c r="Q186" s="478"/>
      <c r="R186" s="478"/>
      <c r="S186" s="478"/>
      <c r="T186" s="1200"/>
      <c r="U186" s="1200"/>
      <c r="V186" s="368"/>
      <c r="W186" s="368"/>
    </row>
    <row r="187" spans="1:23" ht="33" hidden="1" customHeight="1">
      <c r="A187" s="657"/>
      <c r="B187" s="1692" t="s">
        <v>991</v>
      </c>
      <c r="C187" s="1692"/>
      <c r="D187" s="1692"/>
      <c r="E187" s="701">
        <v>0</v>
      </c>
      <c r="F187" s="701">
        <v>0</v>
      </c>
      <c r="G187" s="701">
        <v>0</v>
      </c>
      <c r="H187" s="1395"/>
      <c r="I187" s="701">
        <f>SUM(I35,I47,I53,I72,I76,I101,I113,I168,I178,I71)</f>
        <v>1858.2249999999999</v>
      </c>
      <c r="J187" s="1200"/>
      <c r="K187" s="1552"/>
      <c r="L187" s="478"/>
      <c r="M187" s="478"/>
      <c r="N187" s="478"/>
      <c r="O187" s="478"/>
      <c r="P187" s="478"/>
      <c r="Q187" s="478"/>
      <c r="R187" s="478"/>
      <c r="S187" s="478"/>
      <c r="T187" s="1200"/>
      <c r="U187" s="1200"/>
      <c r="V187" s="368"/>
      <c r="W187" s="368"/>
    </row>
    <row r="188" spans="1:23" ht="33.65" customHeight="1">
      <c r="A188" s="1984" t="s">
        <v>992</v>
      </c>
      <c r="B188" s="1985"/>
      <c r="C188" s="1985"/>
      <c r="D188" s="1986"/>
      <c r="E188" s="1439">
        <v>992.99099999999999</v>
      </c>
      <c r="F188" s="1440"/>
      <c r="G188" s="1440"/>
      <c r="H188" s="1395"/>
      <c r="I188" s="1439">
        <v>0</v>
      </c>
      <c r="J188" s="1200"/>
      <c r="K188" s="1553"/>
      <c r="L188" s="478"/>
      <c r="M188" s="478"/>
      <c r="N188" s="478"/>
      <c r="O188" s="478"/>
      <c r="P188" s="478"/>
      <c r="Q188" s="478"/>
      <c r="R188" s="478"/>
      <c r="S188" s="478"/>
      <c r="T188" s="1200"/>
      <c r="U188" s="1200"/>
      <c r="V188" s="368"/>
      <c r="W188" s="368"/>
    </row>
    <row r="189" spans="1:23" ht="33" customHeight="1">
      <c r="A189" s="1984" t="s">
        <v>1334</v>
      </c>
      <c r="B189" s="1985"/>
      <c r="C189" s="1985"/>
      <c r="D189" s="1987"/>
      <c r="E189" s="729">
        <f>E181+E188</f>
        <v>14770.977999999999</v>
      </c>
      <c r="F189" s="729">
        <f t="shared" ref="F189:G189" si="103">F181+F188</f>
        <v>14301.78</v>
      </c>
      <c r="G189" s="729">
        <f t="shared" si="103"/>
        <v>12988.987999999999</v>
      </c>
      <c r="H189" s="1395">
        <f t="shared" si="99"/>
        <v>0.90820778951990588</v>
      </c>
      <c r="I189" s="729">
        <f t="shared" ref="I189" si="104">I181+I188</f>
        <v>4733.369999999999</v>
      </c>
      <c r="J189" s="809"/>
      <c r="K189" s="1504"/>
      <c r="L189" s="478"/>
      <c r="M189" s="478"/>
      <c r="N189" s="478"/>
      <c r="O189" s="478"/>
      <c r="P189" s="478"/>
      <c r="Q189" s="478"/>
      <c r="R189" s="478"/>
      <c r="S189" s="478"/>
      <c r="T189" s="1200"/>
      <c r="U189" s="1200"/>
      <c r="V189" s="368"/>
      <c r="W189" s="368"/>
    </row>
    <row r="190" spans="1:23" ht="32.5" hidden="1" customHeight="1">
      <c r="A190" s="1984" t="s">
        <v>1948</v>
      </c>
      <c r="B190" s="1985"/>
      <c r="C190" s="1985"/>
      <c r="D190" s="1987"/>
      <c r="E190" s="432">
        <v>0</v>
      </c>
      <c r="F190" s="432">
        <v>0</v>
      </c>
      <c r="G190" s="432">
        <v>0</v>
      </c>
      <c r="H190" s="519"/>
      <c r="I190" s="432">
        <f>I38</f>
        <v>576.25</v>
      </c>
      <c r="J190" s="456"/>
      <c r="K190" s="1504"/>
      <c r="L190" s="437"/>
      <c r="M190" s="437"/>
      <c r="N190" s="437"/>
      <c r="O190" s="437"/>
      <c r="P190" s="457"/>
      <c r="Q190" s="457"/>
      <c r="R190" s="457"/>
      <c r="S190" s="437"/>
      <c r="V190" s="368"/>
      <c r="W190" s="368"/>
    </row>
    <row r="191" spans="1:23" ht="46.95" hidden="1" customHeight="1">
      <c r="A191" s="506"/>
      <c r="B191" s="2226" t="s">
        <v>993</v>
      </c>
      <c r="C191" s="2226"/>
      <c r="D191" s="2226"/>
      <c r="E191" s="492">
        <v>0</v>
      </c>
      <c r="F191" s="492">
        <v>0</v>
      </c>
      <c r="G191" s="492">
        <v>0</v>
      </c>
      <c r="H191" s="519" t="e">
        <f t="shared" si="99"/>
        <v>#DIV/0!</v>
      </c>
      <c r="I191" s="458">
        <f>I190/E189-1</f>
        <v>-0.96098768815443369</v>
      </c>
      <c r="J191" s="456"/>
      <c r="K191" s="1504"/>
      <c r="L191" s="437"/>
      <c r="M191" s="437"/>
      <c r="N191" s="437"/>
      <c r="O191" s="437"/>
      <c r="P191" s="457"/>
      <c r="Q191" s="457"/>
      <c r="R191" s="457"/>
      <c r="S191" s="437"/>
      <c r="V191" s="368"/>
      <c r="W191" s="368"/>
    </row>
    <row r="192" spans="1:23" ht="42" customHeight="1">
      <c r="E192" s="368"/>
      <c r="F192" s="368"/>
      <c r="G192" s="368"/>
      <c r="H192" s="368"/>
      <c r="V192" s="368"/>
      <c r="W192" s="368"/>
    </row>
    <row r="193" spans="2:23" ht="42" hidden="1" customHeight="1">
      <c r="E193" s="368"/>
      <c r="F193" s="368"/>
      <c r="G193" s="368"/>
      <c r="H193" s="368"/>
      <c r="I193" s="368">
        <v>4436.9719999999998</v>
      </c>
      <c r="V193" s="368"/>
      <c r="W193" s="368"/>
    </row>
    <row r="194" spans="2:23" ht="42" hidden="1" customHeight="1">
      <c r="E194" s="368"/>
      <c r="F194" s="368"/>
      <c r="G194" s="368"/>
      <c r="H194" s="368"/>
      <c r="I194" s="383">
        <f>I193-I182-I184-I186-I187</f>
        <v>850.81</v>
      </c>
      <c r="V194" s="368"/>
      <c r="W194" s="368"/>
    </row>
    <row r="195" spans="2:23" ht="42" hidden="1" customHeight="1">
      <c r="B195" s="2055"/>
      <c r="C195" s="2055"/>
      <c r="D195" s="2055"/>
      <c r="E195" s="371"/>
      <c r="F195" s="371"/>
      <c r="G195" s="371"/>
      <c r="H195" s="371"/>
      <c r="I195" s="398"/>
      <c r="J195" s="398"/>
      <c r="K195" s="1554"/>
      <c r="V195" s="368"/>
      <c r="W195" s="368"/>
    </row>
    <row r="196" spans="2:23" ht="42" customHeight="1">
      <c r="E196" s="383">
        <v>9212.2710000000006</v>
      </c>
      <c r="F196" s="368">
        <v>7144.1459999999997</v>
      </c>
      <c r="G196" s="368"/>
      <c r="H196" s="368"/>
      <c r="V196" s="368"/>
      <c r="W196" s="368"/>
    </row>
    <row r="197" spans="2:23" ht="42" customHeight="1">
      <c r="E197" s="383">
        <f>E196-F182-F184-F186</f>
        <v>0</v>
      </c>
      <c r="F197" s="1457">
        <f>F196-G182-G184-G186</f>
        <v>0</v>
      </c>
      <c r="G197" s="368"/>
      <c r="H197" s="368"/>
      <c r="V197" s="368"/>
      <c r="W197" s="368"/>
    </row>
    <row r="198" spans="2:23" ht="42" customHeight="1">
      <c r="E198" s="368"/>
      <c r="F198" s="368"/>
      <c r="G198" s="368"/>
      <c r="H198" s="368"/>
      <c r="V198" s="368"/>
      <c r="W198" s="368"/>
    </row>
    <row r="199" spans="2:23" ht="42" customHeight="1">
      <c r="E199" s="368"/>
      <c r="F199" s="368"/>
      <c r="G199" s="368"/>
      <c r="H199" s="368"/>
      <c r="I199" s="383"/>
      <c r="V199" s="368"/>
      <c r="W199" s="368"/>
    </row>
    <row r="200" spans="2:23" ht="42" customHeight="1">
      <c r="E200" s="368"/>
      <c r="F200" s="368"/>
      <c r="G200" s="368"/>
      <c r="H200" s="368"/>
      <c r="I200" s="383"/>
      <c r="V200" s="368"/>
      <c r="W200" s="368"/>
    </row>
    <row r="201" spans="2:23" ht="42" customHeight="1">
      <c r="E201" s="368"/>
      <c r="F201" s="368"/>
      <c r="G201" s="368"/>
      <c r="H201" s="368"/>
      <c r="I201" s="383"/>
      <c r="V201" s="368"/>
      <c r="W201" s="368"/>
    </row>
    <row r="202" spans="2:23" ht="42" customHeight="1">
      <c r="E202" s="368"/>
      <c r="F202" s="368"/>
      <c r="G202" s="368"/>
      <c r="H202" s="368"/>
      <c r="I202" s="383"/>
      <c r="V202" s="368"/>
      <c r="W202" s="368"/>
    </row>
    <row r="203" spans="2:23" ht="42" customHeight="1">
      <c r="E203" s="368"/>
      <c r="F203" s="368"/>
      <c r="G203" s="368"/>
      <c r="H203" s="368"/>
      <c r="V203" s="368"/>
      <c r="W203" s="368"/>
    </row>
    <row r="204" spans="2:23" ht="42" customHeight="1">
      <c r="E204" s="368"/>
      <c r="F204" s="368"/>
      <c r="G204" s="368"/>
      <c r="H204" s="368"/>
      <c r="V204" s="368"/>
      <c r="W204" s="368"/>
    </row>
    <row r="205" spans="2:23" ht="42" customHeight="1">
      <c r="E205" s="368"/>
      <c r="F205" s="368"/>
      <c r="G205" s="368"/>
      <c r="H205" s="368"/>
      <c r="V205" s="368"/>
      <c r="W205" s="368"/>
    </row>
    <row r="206" spans="2:23" ht="42" customHeight="1">
      <c r="E206" s="368"/>
      <c r="F206" s="368"/>
      <c r="G206" s="368"/>
      <c r="H206" s="368"/>
      <c r="V206" s="368"/>
      <c r="W206" s="368"/>
    </row>
    <row r="207" spans="2:23" ht="42" customHeight="1">
      <c r="E207" s="368"/>
      <c r="F207" s="368"/>
      <c r="G207" s="368"/>
      <c r="H207" s="368"/>
      <c r="V207" s="368"/>
      <c r="W207" s="368"/>
    </row>
    <row r="208" spans="2:23" ht="42" customHeight="1">
      <c r="E208" s="368"/>
      <c r="F208" s="368"/>
      <c r="G208" s="368"/>
      <c r="H208" s="368"/>
      <c r="V208" s="368"/>
      <c r="W208" s="368"/>
    </row>
    <row r="209" spans="5:23" ht="42" customHeight="1">
      <c r="E209" s="368"/>
      <c r="F209" s="368"/>
      <c r="G209" s="368"/>
      <c r="H209" s="368"/>
      <c r="V209" s="368"/>
      <c r="W209" s="368"/>
    </row>
    <row r="210" spans="5:23" ht="42" customHeight="1">
      <c r="E210" s="368"/>
      <c r="F210" s="368"/>
      <c r="G210" s="368"/>
      <c r="H210" s="368"/>
      <c r="V210" s="368"/>
      <c r="W210" s="368"/>
    </row>
    <row r="211" spans="5:23" ht="42" customHeight="1">
      <c r="E211" s="368"/>
      <c r="F211" s="368"/>
      <c r="G211" s="368"/>
      <c r="H211" s="368"/>
      <c r="V211" s="368"/>
      <c r="W211" s="368"/>
    </row>
    <row r="212" spans="5:23" ht="42" customHeight="1">
      <c r="E212" s="368"/>
      <c r="F212" s="368"/>
      <c r="G212" s="368"/>
      <c r="H212" s="368"/>
      <c r="V212" s="368"/>
      <c r="W212" s="368"/>
    </row>
    <row r="213" spans="5:23" ht="42" customHeight="1">
      <c r="E213" s="368"/>
      <c r="F213" s="368"/>
      <c r="G213" s="368"/>
      <c r="H213" s="368"/>
      <c r="V213" s="368"/>
      <c r="W213" s="368"/>
    </row>
    <row r="214" spans="5:23" ht="42" customHeight="1">
      <c r="E214" s="368"/>
      <c r="F214" s="368"/>
      <c r="G214" s="368"/>
      <c r="H214" s="368"/>
      <c r="V214" s="368"/>
      <c r="W214" s="368"/>
    </row>
    <row r="215" spans="5:23" ht="42" customHeight="1">
      <c r="E215" s="368"/>
      <c r="F215" s="368"/>
      <c r="G215" s="368"/>
      <c r="H215" s="368"/>
      <c r="V215" s="368"/>
      <c r="W215" s="368"/>
    </row>
    <row r="216" spans="5:23" ht="42" customHeight="1">
      <c r="E216" s="368"/>
      <c r="F216" s="368"/>
      <c r="G216" s="368"/>
      <c r="H216" s="368"/>
      <c r="V216" s="368"/>
      <c r="W216" s="368"/>
    </row>
    <row r="217" spans="5:23" ht="42" customHeight="1">
      <c r="E217" s="368"/>
      <c r="F217" s="368"/>
      <c r="G217" s="368"/>
      <c r="H217" s="368"/>
      <c r="V217" s="368"/>
      <c r="W217" s="368"/>
    </row>
    <row r="218" spans="5:23" ht="42" customHeight="1">
      <c r="E218" s="368"/>
      <c r="F218" s="368"/>
      <c r="G218" s="368"/>
      <c r="H218" s="368"/>
      <c r="V218" s="368"/>
      <c r="W218" s="368"/>
    </row>
    <row r="219" spans="5:23" ht="42" customHeight="1">
      <c r="E219" s="368"/>
      <c r="F219" s="368"/>
      <c r="G219" s="368"/>
      <c r="H219" s="368"/>
      <c r="V219" s="368"/>
      <c r="W219" s="368"/>
    </row>
    <row r="220" spans="5:23" ht="42" customHeight="1">
      <c r="E220" s="368"/>
      <c r="F220" s="368"/>
      <c r="G220" s="368"/>
      <c r="H220" s="368"/>
      <c r="V220" s="368"/>
      <c r="W220" s="368"/>
    </row>
    <row r="221" spans="5:23" ht="42" customHeight="1">
      <c r="E221" s="368"/>
      <c r="F221" s="368"/>
      <c r="G221" s="368"/>
      <c r="H221" s="368"/>
      <c r="V221" s="368"/>
      <c r="W221" s="368"/>
    </row>
    <row r="222" spans="5:23" ht="42" customHeight="1">
      <c r="E222" s="368"/>
      <c r="F222" s="368"/>
      <c r="G222" s="368"/>
      <c r="H222" s="368"/>
      <c r="V222" s="368"/>
      <c r="W222" s="368"/>
    </row>
    <row r="223" spans="5:23" ht="42" customHeight="1">
      <c r="E223" s="368"/>
      <c r="F223" s="368"/>
      <c r="G223" s="368"/>
      <c r="H223" s="368"/>
      <c r="V223" s="368"/>
      <c r="W223" s="368"/>
    </row>
    <row r="224" spans="5:23" ht="42" customHeight="1">
      <c r="E224" s="368"/>
      <c r="F224" s="368"/>
      <c r="G224" s="368"/>
      <c r="H224" s="368"/>
      <c r="V224" s="368"/>
      <c r="W224" s="368"/>
    </row>
    <row r="225" spans="5:23" ht="42" customHeight="1">
      <c r="E225" s="368"/>
      <c r="F225" s="368"/>
      <c r="G225" s="368"/>
      <c r="H225" s="368"/>
      <c r="V225" s="368"/>
      <c r="W225" s="368"/>
    </row>
    <row r="226" spans="5:23" ht="42" customHeight="1">
      <c r="E226" s="368"/>
      <c r="F226" s="368"/>
      <c r="G226" s="368"/>
      <c r="H226" s="368"/>
      <c r="V226" s="368"/>
      <c r="W226" s="368"/>
    </row>
    <row r="227" spans="5:23" ht="42" customHeight="1">
      <c r="E227" s="368"/>
      <c r="F227" s="368"/>
      <c r="G227" s="368"/>
      <c r="H227" s="368"/>
      <c r="V227" s="368"/>
      <c r="W227" s="368"/>
    </row>
    <row r="228" spans="5:23" ht="42" customHeight="1">
      <c r="E228" s="368"/>
      <c r="F228" s="368"/>
      <c r="G228" s="368"/>
      <c r="H228" s="368"/>
      <c r="V228" s="368"/>
      <c r="W228" s="368"/>
    </row>
    <row r="229" spans="5:23" ht="42" customHeight="1">
      <c r="E229" s="368"/>
      <c r="F229" s="368"/>
      <c r="G229" s="368"/>
      <c r="H229" s="368"/>
      <c r="V229" s="368"/>
      <c r="W229" s="368"/>
    </row>
    <row r="230" spans="5:23" ht="42" customHeight="1">
      <c r="E230" s="368"/>
      <c r="F230" s="368"/>
      <c r="G230" s="368"/>
      <c r="H230" s="368"/>
      <c r="V230" s="368"/>
      <c r="W230" s="368"/>
    </row>
    <row r="231" spans="5:23" ht="42" customHeight="1">
      <c r="E231" s="368"/>
      <c r="F231" s="368"/>
      <c r="G231" s="368"/>
      <c r="H231" s="368"/>
      <c r="V231" s="368"/>
      <c r="W231" s="368"/>
    </row>
    <row r="232" spans="5:23" ht="42" customHeight="1">
      <c r="E232" s="368"/>
      <c r="F232" s="368"/>
      <c r="G232" s="368"/>
      <c r="H232" s="368"/>
      <c r="V232" s="368"/>
      <c r="W232" s="368"/>
    </row>
    <row r="233" spans="5:23" ht="42" customHeight="1">
      <c r="E233" s="368"/>
      <c r="F233" s="368"/>
      <c r="G233" s="368"/>
      <c r="H233" s="368"/>
      <c r="V233" s="368"/>
      <c r="W233" s="368"/>
    </row>
    <row r="234" spans="5:23" ht="42" customHeight="1">
      <c r="E234" s="368"/>
      <c r="F234" s="368"/>
      <c r="G234" s="368"/>
      <c r="H234" s="368"/>
      <c r="V234" s="368"/>
      <c r="W234" s="368"/>
    </row>
    <row r="235" spans="5:23" ht="42" customHeight="1">
      <c r="E235" s="368"/>
      <c r="F235" s="368"/>
      <c r="G235" s="368"/>
      <c r="H235" s="368"/>
      <c r="V235" s="368"/>
      <c r="W235" s="368"/>
    </row>
    <row r="236" spans="5:23" ht="42" customHeight="1">
      <c r="E236" s="368"/>
      <c r="F236" s="368"/>
      <c r="G236" s="368"/>
      <c r="H236" s="368"/>
      <c r="V236" s="368"/>
      <c r="W236" s="368"/>
    </row>
    <row r="237" spans="5:23" ht="42" customHeight="1">
      <c r="E237" s="368"/>
      <c r="F237" s="368"/>
      <c r="G237" s="368"/>
      <c r="H237" s="368"/>
      <c r="V237" s="368"/>
      <c r="W237" s="368"/>
    </row>
    <row r="238" spans="5:23" ht="42" customHeight="1">
      <c r="E238" s="368"/>
      <c r="F238" s="368"/>
      <c r="G238" s="368"/>
      <c r="H238" s="368"/>
      <c r="V238" s="368"/>
      <c r="W238" s="368"/>
    </row>
    <row r="239" spans="5:23" ht="42" customHeight="1">
      <c r="E239" s="368"/>
      <c r="F239" s="368"/>
      <c r="G239" s="368"/>
      <c r="H239" s="368"/>
      <c r="V239" s="368"/>
      <c r="W239" s="368"/>
    </row>
    <row r="240" spans="5:23" ht="42" customHeight="1">
      <c r="E240" s="368"/>
      <c r="F240" s="368"/>
      <c r="G240" s="368"/>
      <c r="H240" s="368"/>
      <c r="V240" s="368"/>
      <c r="W240" s="368"/>
    </row>
    <row r="241" spans="5:23" ht="42" customHeight="1">
      <c r="E241" s="368"/>
      <c r="F241" s="368"/>
      <c r="G241" s="368"/>
      <c r="H241" s="368"/>
      <c r="V241" s="368"/>
      <c r="W241" s="368"/>
    </row>
    <row r="242" spans="5:23" ht="42" customHeight="1">
      <c r="E242" s="368"/>
      <c r="F242" s="368"/>
      <c r="G242" s="368"/>
      <c r="H242" s="368"/>
      <c r="V242" s="368"/>
      <c r="W242" s="368"/>
    </row>
    <row r="243" spans="5:23" ht="42" customHeight="1">
      <c r="E243" s="368"/>
      <c r="F243" s="368"/>
      <c r="G243" s="368"/>
      <c r="H243" s="368"/>
      <c r="V243" s="368"/>
      <c r="W243" s="368"/>
    </row>
    <row r="244" spans="5:23" ht="42" customHeight="1">
      <c r="E244" s="368"/>
      <c r="F244" s="368"/>
      <c r="G244" s="368"/>
      <c r="H244" s="368"/>
      <c r="V244" s="368"/>
      <c r="W244" s="368"/>
    </row>
    <row r="245" spans="5:23" ht="42" customHeight="1">
      <c r="E245" s="368"/>
      <c r="F245" s="368"/>
      <c r="G245" s="368"/>
      <c r="H245" s="368"/>
      <c r="V245" s="368"/>
      <c r="W245" s="368"/>
    </row>
    <row r="246" spans="5:23" ht="42" customHeight="1">
      <c r="E246" s="368"/>
      <c r="F246" s="368"/>
      <c r="G246" s="368"/>
      <c r="H246" s="368"/>
      <c r="V246" s="368"/>
      <c r="W246" s="368"/>
    </row>
    <row r="247" spans="5:23" ht="42" customHeight="1">
      <c r="E247" s="368"/>
      <c r="F247" s="368"/>
      <c r="G247" s="368"/>
      <c r="H247" s="368"/>
      <c r="V247" s="368"/>
      <c r="W247" s="368"/>
    </row>
    <row r="248" spans="5:23" ht="42" customHeight="1">
      <c r="E248" s="368"/>
      <c r="F248" s="368"/>
      <c r="G248" s="368"/>
      <c r="H248" s="368"/>
      <c r="V248" s="368"/>
      <c r="W248" s="368"/>
    </row>
    <row r="249" spans="5:23" ht="42" customHeight="1">
      <c r="E249" s="368"/>
      <c r="F249" s="368"/>
      <c r="G249" s="368"/>
      <c r="H249" s="368"/>
      <c r="V249" s="368"/>
      <c r="W249" s="368"/>
    </row>
    <row r="250" spans="5:23" ht="42" customHeight="1">
      <c r="E250" s="368"/>
      <c r="F250" s="368"/>
      <c r="G250" s="368"/>
      <c r="H250" s="368"/>
      <c r="V250" s="368"/>
      <c r="W250" s="368"/>
    </row>
    <row r="251" spans="5:23" ht="42" customHeight="1">
      <c r="E251" s="368"/>
      <c r="F251" s="368"/>
      <c r="G251" s="368"/>
      <c r="H251" s="368"/>
      <c r="V251" s="368"/>
      <c r="W251" s="368"/>
    </row>
    <row r="252" spans="5:23" ht="42" customHeight="1">
      <c r="E252" s="368"/>
      <c r="F252" s="368"/>
      <c r="G252" s="368"/>
      <c r="H252" s="368"/>
      <c r="V252" s="368"/>
      <c r="W252" s="368"/>
    </row>
    <row r="253" spans="5:23" ht="42" customHeight="1">
      <c r="E253" s="368"/>
      <c r="F253" s="368"/>
      <c r="G253" s="368"/>
      <c r="H253" s="368"/>
      <c r="V253" s="368"/>
      <c r="W253" s="368"/>
    </row>
    <row r="254" spans="5:23" ht="42" customHeight="1">
      <c r="E254" s="368"/>
      <c r="F254" s="368"/>
      <c r="G254" s="368"/>
      <c r="H254" s="368"/>
      <c r="V254" s="368"/>
      <c r="W254" s="368"/>
    </row>
    <row r="255" spans="5:23" ht="42" customHeight="1">
      <c r="E255" s="368"/>
      <c r="F255" s="368"/>
      <c r="G255" s="368"/>
      <c r="H255" s="368"/>
      <c r="V255" s="368"/>
      <c r="W255" s="368"/>
    </row>
    <row r="256" spans="5:23" ht="42" customHeight="1">
      <c r="E256" s="368"/>
      <c r="F256" s="368"/>
      <c r="G256" s="368"/>
      <c r="H256" s="368"/>
      <c r="V256" s="368"/>
      <c r="W256" s="368"/>
    </row>
    <row r="257" spans="5:23" ht="42" customHeight="1">
      <c r="E257" s="368"/>
      <c r="F257" s="368"/>
      <c r="G257" s="368"/>
      <c r="H257" s="368"/>
      <c r="V257" s="368"/>
      <c r="W257" s="368"/>
    </row>
    <row r="258" spans="5:23" ht="42" customHeight="1">
      <c r="E258" s="368"/>
      <c r="F258" s="368"/>
      <c r="G258" s="368"/>
      <c r="H258" s="368"/>
      <c r="V258" s="368"/>
      <c r="W258" s="368"/>
    </row>
    <row r="259" spans="5:23" ht="42" customHeight="1">
      <c r="E259" s="368"/>
      <c r="F259" s="368"/>
      <c r="G259" s="368"/>
      <c r="H259" s="368"/>
      <c r="V259" s="368"/>
      <c r="W259" s="368"/>
    </row>
    <row r="260" spans="5:23" ht="42" customHeight="1">
      <c r="E260" s="368"/>
      <c r="F260" s="368"/>
      <c r="G260" s="368"/>
      <c r="H260" s="368"/>
      <c r="V260" s="368"/>
      <c r="W260" s="368"/>
    </row>
    <row r="261" spans="5:23" ht="42" customHeight="1">
      <c r="E261" s="368"/>
      <c r="F261" s="368"/>
      <c r="G261" s="368"/>
      <c r="H261" s="368"/>
      <c r="V261" s="368"/>
      <c r="W261" s="368"/>
    </row>
    <row r="262" spans="5:23" ht="42" customHeight="1">
      <c r="E262" s="368"/>
      <c r="F262" s="368"/>
      <c r="G262" s="368"/>
      <c r="H262" s="368"/>
      <c r="V262" s="368"/>
      <c r="W262" s="368"/>
    </row>
    <row r="263" spans="5:23" ht="42" customHeight="1">
      <c r="E263" s="368"/>
      <c r="F263" s="368"/>
      <c r="G263" s="368"/>
      <c r="H263" s="368"/>
      <c r="V263" s="368"/>
      <c r="W263" s="368"/>
    </row>
    <row r="264" spans="5:23" ht="42" customHeight="1">
      <c r="E264" s="368"/>
      <c r="F264" s="368"/>
      <c r="G264" s="368"/>
      <c r="H264" s="368"/>
      <c r="V264" s="368"/>
      <c r="W264" s="368"/>
    </row>
    <row r="265" spans="5:23" ht="42" customHeight="1">
      <c r="E265" s="368"/>
      <c r="F265" s="368"/>
      <c r="G265" s="368"/>
      <c r="H265" s="368"/>
      <c r="V265" s="368"/>
      <c r="W265" s="368"/>
    </row>
    <row r="266" spans="5:23" ht="42" customHeight="1">
      <c r="E266" s="368"/>
      <c r="F266" s="368"/>
      <c r="G266" s="368"/>
      <c r="H266" s="368"/>
      <c r="V266" s="368"/>
      <c r="W266" s="368"/>
    </row>
    <row r="267" spans="5:23" ht="42" customHeight="1">
      <c r="E267" s="368"/>
      <c r="F267" s="368"/>
      <c r="G267" s="368"/>
      <c r="H267" s="368"/>
      <c r="V267" s="368"/>
      <c r="W267" s="368"/>
    </row>
    <row r="268" spans="5:23" ht="42" customHeight="1">
      <c r="E268" s="368"/>
      <c r="F268" s="368"/>
      <c r="G268" s="368"/>
      <c r="H268" s="368"/>
      <c r="V268" s="368"/>
      <c r="W268" s="368"/>
    </row>
    <row r="269" spans="5:23" ht="42" customHeight="1">
      <c r="E269" s="368"/>
      <c r="F269" s="368"/>
      <c r="G269" s="368"/>
      <c r="H269" s="368"/>
      <c r="V269" s="368"/>
      <c r="W269" s="368"/>
    </row>
    <row r="270" spans="5:23" ht="42" customHeight="1">
      <c r="E270" s="368"/>
      <c r="F270" s="368"/>
      <c r="G270" s="368"/>
      <c r="H270" s="368"/>
      <c r="V270" s="368"/>
      <c r="W270" s="368"/>
    </row>
    <row r="271" spans="5:23" ht="42" customHeight="1">
      <c r="E271" s="368"/>
      <c r="F271" s="368"/>
      <c r="G271" s="368"/>
      <c r="H271" s="368"/>
      <c r="V271" s="368"/>
      <c r="W271" s="368"/>
    </row>
    <row r="272" spans="5:23" ht="42" customHeight="1">
      <c r="E272" s="368"/>
      <c r="F272" s="368"/>
      <c r="G272" s="368"/>
      <c r="H272" s="368"/>
      <c r="V272" s="368"/>
      <c r="W272" s="368"/>
    </row>
    <row r="273" spans="5:23" ht="42" customHeight="1">
      <c r="E273" s="368"/>
      <c r="F273" s="368"/>
      <c r="G273" s="368"/>
      <c r="H273" s="368"/>
      <c r="V273" s="368"/>
      <c r="W273" s="368"/>
    </row>
    <row r="274" spans="5:23" ht="42" customHeight="1">
      <c r="E274" s="368"/>
      <c r="F274" s="368"/>
      <c r="G274" s="368"/>
      <c r="H274" s="368"/>
      <c r="V274" s="368"/>
      <c r="W274" s="368"/>
    </row>
    <row r="275" spans="5:23" ht="42" customHeight="1">
      <c r="E275" s="368"/>
      <c r="F275" s="368"/>
      <c r="G275" s="368"/>
      <c r="H275" s="368"/>
      <c r="V275" s="368"/>
      <c r="W275" s="368"/>
    </row>
    <row r="276" spans="5:23" ht="42" customHeight="1">
      <c r="E276" s="368"/>
      <c r="F276" s="368"/>
      <c r="G276" s="368"/>
      <c r="H276" s="368"/>
      <c r="V276" s="368"/>
      <c r="W276" s="368"/>
    </row>
    <row r="277" spans="5:23" ht="42" customHeight="1">
      <c r="E277" s="368"/>
      <c r="F277" s="368"/>
      <c r="G277" s="368"/>
      <c r="H277" s="368"/>
      <c r="V277" s="368"/>
      <c r="W277" s="368"/>
    </row>
    <row r="278" spans="5:23" ht="42" customHeight="1">
      <c r="E278" s="368"/>
      <c r="F278" s="368"/>
      <c r="G278" s="368"/>
      <c r="H278" s="368"/>
      <c r="V278" s="368"/>
      <c r="W278" s="368"/>
    </row>
    <row r="279" spans="5:23" ht="42" customHeight="1">
      <c r="E279" s="368"/>
      <c r="F279" s="368"/>
      <c r="G279" s="368"/>
      <c r="H279" s="368"/>
      <c r="V279" s="368"/>
      <c r="W279" s="368"/>
    </row>
    <row r="280" spans="5:23" ht="42" customHeight="1">
      <c r="E280" s="368"/>
      <c r="F280" s="368"/>
      <c r="G280" s="368"/>
      <c r="H280" s="368"/>
      <c r="V280" s="368"/>
      <c r="W280" s="368"/>
    </row>
    <row r="281" spans="5:23" ht="42" customHeight="1">
      <c r="E281" s="368"/>
      <c r="F281" s="368"/>
      <c r="G281" s="368"/>
      <c r="H281" s="368"/>
      <c r="V281" s="368"/>
      <c r="W281" s="368"/>
    </row>
    <row r="282" spans="5:23" ht="42" customHeight="1">
      <c r="E282" s="368"/>
      <c r="F282" s="368"/>
      <c r="G282" s="368"/>
      <c r="H282" s="368"/>
      <c r="V282" s="368"/>
      <c r="W282" s="368"/>
    </row>
    <row r="283" spans="5:23" ht="42" customHeight="1">
      <c r="E283" s="368"/>
      <c r="F283" s="368"/>
      <c r="G283" s="368"/>
      <c r="H283" s="368"/>
      <c r="V283" s="368"/>
      <c r="W283" s="368"/>
    </row>
    <row r="284" spans="5:23" ht="42" customHeight="1">
      <c r="E284" s="368"/>
      <c r="F284" s="368"/>
      <c r="G284" s="368"/>
      <c r="H284" s="368"/>
      <c r="V284" s="368"/>
      <c r="W284" s="368"/>
    </row>
    <row r="285" spans="5:23" ht="42" customHeight="1">
      <c r="E285" s="368"/>
      <c r="F285" s="368"/>
      <c r="G285" s="368"/>
      <c r="H285" s="368"/>
      <c r="V285" s="368"/>
      <c r="W285" s="368"/>
    </row>
    <row r="286" spans="5:23" ht="42" customHeight="1">
      <c r="E286" s="368"/>
      <c r="F286" s="368"/>
      <c r="G286" s="368"/>
      <c r="H286" s="368"/>
      <c r="V286" s="368"/>
      <c r="W286" s="368"/>
    </row>
    <row r="287" spans="5:23" ht="42" customHeight="1">
      <c r="E287" s="368"/>
      <c r="F287" s="368"/>
      <c r="G287" s="368"/>
      <c r="H287" s="368"/>
      <c r="V287" s="368"/>
      <c r="W287" s="368"/>
    </row>
    <row r="288" spans="5:23" ht="42" customHeight="1">
      <c r="E288" s="368"/>
      <c r="F288" s="368"/>
      <c r="G288" s="368"/>
      <c r="H288" s="368"/>
      <c r="V288" s="368"/>
      <c r="W288" s="368"/>
    </row>
    <row r="289" spans="5:23" ht="42" customHeight="1">
      <c r="E289" s="368"/>
      <c r="F289" s="368"/>
      <c r="G289" s="368"/>
      <c r="H289" s="368"/>
      <c r="V289" s="368"/>
      <c r="W289" s="368"/>
    </row>
    <row r="290" spans="5:23" ht="42" customHeight="1">
      <c r="E290" s="368"/>
      <c r="F290" s="368"/>
      <c r="G290" s="368"/>
      <c r="H290" s="368"/>
      <c r="V290" s="368"/>
      <c r="W290" s="368"/>
    </row>
    <row r="291" spans="5:23" ht="42" customHeight="1">
      <c r="E291" s="368"/>
      <c r="F291" s="368"/>
      <c r="G291" s="368"/>
      <c r="H291" s="368"/>
      <c r="V291" s="368"/>
      <c r="W291" s="368"/>
    </row>
    <row r="292" spans="5:23" ht="42" customHeight="1">
      <c r="E292" s="368"/>
      <c r="F292" s="368"/>
      <c r="G292" s="368"/>
      <c r="H292" s="368"/>
      <c r="V292" s="368"/>
      <c r="W292" s="368"/>
    </row>
    <row r="293" spans="5:23" ht="42" customHeight="1">
      <c r="E293" s="368"/>
      <c r="F293" s="368"/>
      <c r="G293" s="368"/>
      <c r="H293" s="368"/>
      <c r="V293" s="368"/>
      <c r="W293" s="368"/>
    </row>
    <row r="294" spans="5:23" ht="42" customHeight="1">
      <c r="E294" s="368"/>
      <c r="F294" s="368"/>
      <c r="G294" s="368"/>
      <c r="H294" s="368"/>
      <c r="V294" s="368"/>
      <c r="W294" s="368"/>
    </row>
    <row r="295" spans="5:23" ht="42" customHeight="1">
      <c r="E295" s="368"/>
      <c r="F295" s="368"/>
      <c r="G295" s="368"/>
      <c r="H295" s="368"/>
      <c r="V295" s="368"/>
      <c r="W295" s="368"/>
    </row>
    <row r="296" spans="5:23" ht="42" customHeight="1">
      <c r="E296" s="368"/>
      <c r="F296" s="368"/>
      <c r="G296" s="368"/>
      <c r="H296" s="368"/>
      <c r="V296" s="368"/>
      <c r="W296" s="368"/>
    </row>
    <row r="297" spans="5:23" ht="42" customHeight="1">
      <c r="E297" s="368"/>
      <c r="F297" s="368"/>
      <c r="G297" s="368"/>
      <c r="H297" s="368"/>
      <c r="V297" s="368"/>
      <c r="W297" s="368"/>
    </row>
    <row r="298" spans="5:23" ht="42" customHeight="1">
      <c r="E298" s="368"/>
      <c r="F298" s="368"/>
      <c r="G298" s="368"/>
      <c r="H298" s="368"/>
      <c r="V298" s="368"/>
      <c r="W298" s="368"/>
    </row>
    <row r="299" spans="5:23" ht="42" customHeight="1">
      <c r="E299" s="368"/>
      <c r="F299" s="368"/>
      <c r="G299" s="368"/>
      <c r="H299" s="368"/>
      <c r="V299" s="368"/>
      <c r="W299" s="368"/>
    </row>
    <row r="300" spans="5:23" ht="42" customHeight="1">
      <c r="E300" s="368"/>
      <c r="F300" s="368"/>
      <c r="G300" s="368"/>
      <c r="H300" s="368"/>
      <c r="V300" s="368"/>
      <c r="W300" s="368"/>
    </row>
    <row r="301" spans="5:23" ht="42" customHeight="1">
      <c r="E301" s="368"/>
      <c r="F301" s="368"/>
      <c r="G301" s="368"/>
      <c r="H301" s="368"/>
      <c r="V301" s="368"/>
      <c r="W301" s="368"/>
    </row>
    <row r="302" spans="5:23" ht="42" customHeight="1">
      <c r="E302" s="368"/>
      <c r="F302" s="368"/>
      <c r="G302" s="368"/>
      <c r="H302" s="368"/>
      <c r="V302" s="368"/>
      <c r="W302" s="368"/>
    </row>
    <row r="303" spans="5:23" ht="42" customHeight="1">
      <c r="E303" s="368"/>
      <c r="F303" s="368"/>
      <c r="G303" s="368"/>
      <c r="H303" s="368"/>
      <c r="V303" s="368"/>
      <c r="W303" s="368"/>
    </row>
    <row r="304" spans="5:23" ht="42" customHeight="1">
      <c r="E304" s="368"/>
      <c r="F304" s="368"/>
      <c r="G304" s="368"/>
      <c r="H304" s="368"/>
      <c r="V304" s="368"/>
      <c r="W304" s="368"/>
    </row>
    <row r="305" spans="5:23" ht="42" customHeight="1">
      <c r="E305" s="368"/>
      <c r="F305" s="368"/>
      <c r="G305" s="368"/>
      <c r="H305" s="368"/>
      <c r="V305" s="368"/>
      <c r="W305" s="368"/>
    </row>
    <row r="306" spans="5:23" ht="42" customHeight="1">
      <c r="E306" s="368"/>
      <c r="F306" s="368"/>
      <c r="G306" s="368"/>
      <c r="H306" s="368"/>
      <c r="V306" s="368"/>
      <c r="W306" s="368"/>
    </row>
    <row r="307" spans="5:23" ht="42" customHeight="1">
      <c r="E307" s="368"/>
      <c r="F307" s="368"/>
      <c r="G307" s="368"/>
      <c r="H307" s="368"/>
      <c r="V307" s="368"/>
      <c r="W307" s="368"/>
    </row>
    <row r="308" spans="5:23" ht="42" customHeight="1">
      <c r="E308" s="368"/>
      <c r="F308" s="368"/>
      <c r="G308" s="368"/>
      <c r="H308" s="368"/>
      <c r="V308" s="368"/>
      <c r="W308" s="368"/>
    </row>
    <row r="309" spans="5:23" ht="42" customHeight="1">
      <c r="E309" s="368"/>
      <c r="F309" s="368"/>
      <c r="G309" s="368"/>
      <c r="H309" s="368"/>
      <c r="V309" s="368"/>
      <c r="W309" s="368"/>
    </row>
    <row r="310" spans="5:23" ht="42" customHeight="1">
      <c r="E310" s="368"/>
      <c r="F310" s="368"/>
      <c r="G310" s="368"/>
      <c r="H310" s="368"/>
      <c r="V310" s="368"/>
      <c r="W310" s="368"/>
    </row>
    <row r="311" spans="5:23" ht="42" customHeight="1">
      <c r="E311" s="368"/>
      <c r="F311" s="368"/>
      <c r="G311" s="368"/>
      <c r="H311" s="368"/>
      <c r="V311" s="368"/>
      <c r="W311" s="368"/>
    </row>
    <row r="312" spans="5:23" ht="42" customHeight="1">
      <c r="E312" s="368"/>
      <c r="F312" s="368"/>
      <c r="G312" s="368"/>
      <c r="H312" s="368"/>
      <c r="V312" s="368"/>
      <c r="W312" s="368"/>
    </row>
    <row r="313" spans="5:23" ht="42" customHeight="1">
      <c r="E313" s="368"/>
      <c r="F313" s="368"/>
      <c r="G313" s="368"/>
      <c r="H313" s="368"/>
      <c r="V313" s="368"/>
      <c r="W313" s="368"/>
    </row>
    <row r="314" spans="5:23" ht="42" customHeight="1">
      <c r="E314" s="368"/>
      <c r="F314" s="368"/>
      <c r="G314" s="368"/>
      <c r="H314" s="368"/>
      <c r="V314" s="368"/>
      <c r="W314" s="368"/>
    </row>
    <row r="315" spans="5:23" ht="42" customHeight="1">
      <c r="E315" s="368"/>
      <c r="F315" s="368"/>
      <c r="G315" s="368"/>
      <c r="H315" s="368"/>
      <c r="V315" s="368"/>
      <c r="W315" s="368"/>
    </row>
    <row r="316" spans="5:23" ht="42" customHeight="1">
      <c r="E316" s="368"/>
      <c r="F316" s="368"/>
      <c r="G316" s="368"/>
      <c r="H316" s="368"/>
      <c r="V316" s="368"/>
      <c r="W316" s="368"/>
    </row>
    <row r="317" spans="5:23" ht="42" customHeight="1">
      <c r="E317" s="368"/>
      <c r="F317" s="368"/>
      <c r="G317" s="368"/>
      <c r="H317" s="368"/>
      <c r="V317" s="368"/>
      <c r="W317" s="368"/>
    </row>
    <row r="318" spans="5:23" ht="42" customHeight="1">
      <c r="E318" s="368"/>
      <c r="F318" s="368"/>
      <c r="G318" s="368"/>
      <c r="H318" s="368"/>
      <c r="V318" s="368"/>
      <c r="W318" s="368"/>
    </row>
    <row r="319" spans="5:23" ht="42" customHeight="1">
      <c r="E319" s="368"/>
      <c r="F319" s="368"/>
      <c r="G319" s="368"/>
      <c r="H319" s="368"/>
      <c r="V319" s="368"/>
      <c r="W319" s="368"/>
    </row>
    <row r="320" spans="5:23" ht="42" customHeight="1">
      <c r="E320" s="368"/>
      <c r="F320" s="368"/>
      <c r="G320" s="368"/>
      <c r="H320" s="368"/>
      <c r="V320" s="368"/>
      <c r="W320" s="368"/>
    </row>
    <row r="321" spans="5:23" ht="42" customHeight="1">
      <c r="E321" s="368"/>
      <c r="F321" s="368"/>
      <c r="G321" s="368"/>
      <c r="H321" s="368"/>
      <c r="V321" s="368"/>
      <c r="W321" s="368"/>
    </row>
    <row r="322" spans="5:23" ht="42" customHeight="1">
      <c r="E322" s="368"/>
      <c r="F322" s="368"/>
      <c r="G322" s="368"/>
      <c r="H322" s="368"/>
      <c r="V322" s="368"/>
      <c r="W322" s="368"/>
    </row>
    <row r="323" spans="5:23" ht="42" customHeight="1">
      <c r="E323" s="368"/>
      <c r="F323" s="368"/>
      <c r="G323" s="368"/>
      <c r="H323" s="368"/>
      <c r="V323" s="368"/>
      <c r="W323" s="368"/>
    </row>
    <row r="324" spans="5:23" ht="42" customHeight="1">
      <c r="E324" s="368"/>
      <c r="F324" s="368"/>
      <c r="G324" s="368"/>
      <c r="H324" s="368"/>
      <c r="V324" s="368"/>
      <c r="W324" s="368"/>
    </row>
    <row r="325" spans="5:23" ht="42" customHeight="1">
      <c r="E325" s="368"/>
      <c r="F325" s="368"/>
      <c r="G325" s="368"/>
      <c r="H325" s="368"/>
      <c r="V325" s="368"/>
      <c r="W325" s="368"/>
    </row>
    <row r="326" spans="5:23" ht="42" customHeight="1">
      <c r="E326" s="368"/>
      <c r="F326" s="368"/>
      <c r="G326" s="368"/>
      <c r="H326" s="368"/>
      <c r="V326" s="368"/>
      <c r="W326" s="368"/>
    </row>
    <row r="327" spans="5:23" ht="42" customHeight="1">
      <c r="E327" s="368"/>
      <c r="F327" s="368"/>
      <c r="G327" s="368"/>
      <c r="H327" s="368"/>
      <c r="V327" s="368"/>
      <c r="W327" s="368"/>
    </row>
    <row r="328" spans="5:23" ht="42" customHeight="1">
      <c r="E328" s="368"/>
      <c r="F328" s="368"/>
      <c r="G328" s="368"/>
      <c r="H328" s="368"/>
      <c r="V328" s="368"/>
      <c r="W328" s="368"/>
    </row>
    <row r="329" spans="5:23" ht="42" customHeight="1">
      <c r="E329" s="368"/>
      <c r="F329" s="368"/>
      <c r="G329" s="368"/>
      <c r="H329" s="368"/>
      <c r="V329" s="368"/>
      <c r="W329" s="368"/>
    </row>
    <row r="330" spans="5:23" ht="42" customHeight="1">
      <c r="E330" s="368"/>
      <c r="F330" s="368"/>
      <c r="G330" s="368"/>
      <c r="H330" s="368"/>
      <c r="V330" s="368"/>
      <c r="W330" s="368"/>
    </row>
    <row r="331" spans="5:23" ht="42" customHeight="1">
      <c r="E331" s="368"/>
      <c r="F331" s="368"/>
      <c r="G331" s="368"/>
      <c r="H331" s="368"/>
      <c r="V331" s="368"/>
      <c r="W331" s="368"/>
    </row>
    <row r="332" spans="5:23" ht="42" customHeight="1">
      <c r="E332" s="368"/>
      <c r="F332" s="368"/>
      <c r="G332" s="368"/>
      <c r="H332" s="368"/>
      <c r="V332" s="368"/>
      <c r="W332" s="368"/>
    </row>
    <row r="333" spans="5:23" ht="42" customHeight="1">
      <c r="E333" s="368"/>
      <c r="F333" s="368"/>
      <c r="G333" s="368"/>
      <c r="H333" s="368"/>
      <c r="V333" s="368"/>
      <c r="W333" s="368"/>
    </row>
    <row r="334" spans="5:23" ht="42" customHeight="1">
      <c r="E334" s="368"/>
      <c r="F334" s="368"/>
      <c r="G334" s="368"/>
      <c r="H334" s="368"/>
      <c r="V334" s="368"/>
      <c r="W334" s="368"/>
    </row>
    <row r="335" spans="5:23" ht="42" customHeight="1">
      <c r="E335" s="368"/>
      <c r="F335" s="368"/>
      <c r="G335" s="368"/>
      <c r="H335" s="368"/>
      <c r="V335" s="368"/>
      <c r="W335" s="368"/>
    </row>
    <row r="336" spans="5:23" ht="42" customHeight="1">
      <c r="E336" s="368"/>
      <c r="F336" s="368"/>
      <c r="G336" s="368"/>
      <c r="H336" s="368"/>
      <c r="V336" s="368"/>
      <c r="W336" s="368"/>
    </row>
    <row r="337" spans="5:23" ht="42" customHeight="1">
      <c r="E337" s="368"/>
      <c r="F337" s="368"/>
      <c r="G337" s="368"/>
      <c r="H337" s="368"/>
      <c r="V337" s="368"/>
      <c r="W337" s="368"/>
    </row>
    <row r="338" spans="5:23" ht="42" customHeight="1">
      <c r="E338" s="368"/>
      <c r="F338" s="368"/>
      <c r="G338" s="368"/>
      <c r="H338" s="368"/>
      <c r="V338" s="368"/>
      <c r="W338" s="368"/>
    </row>
    <row r="339" spans="5:23" ht="42" customHeight="1">
      <c r="E339" s="368"/>
      <c r="F339" s="368"/>
      <c r="G339" s="368"/>
      <c r="H339" s="368"/>
      <c r="V339" s="368"/>
      <c r="W339" s="368"/>
    </row>
    <row r="340" spans="5:23" ht="42" customHeight="1">
      <c r="E340" s="368"/>
      <c r="F340" s="368"/>
      <c r="G340" s="368"/>
      <c r="H340" s="368"/>
      <c r="V340" s="368"/>
      <c r="W340" s="368"/>
    </row>
    <row r="341" spans="5:23" ht="42" customHeight="1">
      <c r="E341" s="368"/>
      <c r="F341" s="368"/>
      <c r="G341" s="368"/>
      <c r="H341" s="368"/>
      <c r="V341" s="368"/>
      <c r="W341" s="368"/>
    </row>
    <row r="342" spans="5:23" ht="42" customHeight="1">
      <c r="E342" s="368"/>
      <c r="F342" s="368"/>
      <c r="G342" s="368"/>
      <c r="H342" s="368"/>
      <c r="V342" s="368"/>
      <c r="W342" s="368"/>
    </row>
    <row r="343" spans="5:23" ht="42" customHeight="1">
      <c r="E343" s="368"/>
      <c r="F343" s="368"/>
      <c r="G343" s="368"/>
      <c r="H343" s="368"/>
      <c r="V343" s="368"/>
      <c r="W343" s="368"/>
    </row>
    <row r="344" spans="5:23" ht="42" customHeight="1">
      <c r="E344" s="368"/>
      <c r="F344" s="368"/>
      <c r="G344" s="368"/>
      <c r="H344" s="368"/>
      <c r="V344" s="368"/>
      <c r="W344" s="368"/>
    </row>
    <row r="345" spans="5:23" ht="42" customHeight="1">
      <c r="E345" s="368"/>
      <c r="F345" s="368"/>
      <c r="G345" s="368"/>
      <c r="H345" s="368"/>
      <c r="V345" s="368"/>
      <c r="W345" s="368"/>
    </row>
    <row r="346" spans="5:23" ht="42" customHeight="1">
      <c r="E346" s="368"/>
      <c r="F346" s="368"/>
      <c r="G346" s="368"/>
      <c r="H346" s="368"/>
      <c r="V346" s="368"/>
      <c r="W346" s="368"/>
    </row>
    <row r="347" spans="5:23" ht="42" customHeight="1">
      <c r="E347" s="368"/>
      <c r="F347" s="368"/>
      <c r="G347" s="368"/>
      <c r="H347" s="368"/>
      <c r="V347" s="368"/>
      <c r="W347" s="368"/>
    </row>
    <row r="348" spans="5:23" ht="42" customHeight="1">
      <c r="E348" s="368"/>
      <c r="F348" s="368"/>
      <c r="G348" s="368"/>
      <c r="H348" s="368"/>
      <c r="V348" s="368"/>
      <c r="W348" s="368"/>
    </row>
    <row r="349" spans="5:23" ht="42" customHeight="1">
      <c r="E349" s="368"/>
      <c r="F349" s="368"/>
      <c r="G349" s="368"/>
      <c r="H349" s="368"/>
      <c r="V349" s="368"/>
      <c r="W349" s="368"/>
    </row>
    <row r="350" spans="5:23" ht="42" customHeight="1">
      <c r="E350" s="368"/>
      <c r="F350" s="368"/>
      <c r="G350" s="368"/>
      <c r="H350" s="368"/>
      <c r="V350" s="368"/>
      <c r="W350" s="368"/>
    </row>
    <row r="351" spans="5:23" ht="42" customHeight="1">
      <c r="E351" s="368"/>
      <c r="F351" s="368"/>
      <c r="G351" s="368"/>
      <c r="H351" s="368"/>
      <c r="V351" s="368"/>
      <c r="W351" s="368"/>
    </row>
    <row r="352" spans="5:23" ht="42" customHeight="1">
      <c r="E352" s="368"/>
      <c r="F352" s="368"/>
      <c r="G352" s="368"/>
      <c r="H352" s="368"/>
      <c r="V352" s="368"/>
      <c r="W352" s="368"/>
    </row>
    <row r="353" spans="5:23" ht="42" customHeight="1">
      <c r="E353" s="368"/>
      <c r="F353" s="368"/>
      <c r="G353" s="368"/>
      <c r="H353" s="368"/>
      <c r="V353" s="368"/>
      <c r="W353" s="368"/>
    </row>
    <row r="354" spans="5:23" ht="42" customHeight="1">
      <c r="E354" s="368"/>
      <c r="F354" s="368"/>
      <c r="G354" s="368"/>
      <c r="H354" s="368"/>
      <c r="V354" s="368"/>
      <c r="W354" s="368"/>
    </row>
    <row r="355" spans="5:23" ht="42" customHeight="1">
      <c r="E355" s="368"/>
      <c r="F355" s="368"/>
      <c r="G355" s="368"/>
      <c r="H355" s="368"/>
      <c r="V355" s="368"/>
      <c r="W355" s="368"/>
    </row>
    <row r="356" spans="5:23" ht="42" customHeight="1">
      <c r="E356" s="368"/>
      <c r="F356" s="368"/>
      <c r="G356" s="368"/>
      <c r="H356" s="368"/>
      <c r="V356" s="368"/>
      <c r="W356" s="368"/>
    </row>
    <row r="357" spans="5:23" ht="42" customHeight="1">
      <c r="E357" s="368"/>
      <c r="F357" s="368"/>
      <c r="G357" s="368"/>
      <c r="H357" s="368"/>
      <c r="V357" s="368"/>
      <c r="W357" s="368"/>
    </row>
    <row r="358" spans="5:23" ht="42" customHeight="1">
      <c r="E358" s="368"/>
      <c r="F358" s="368"/>
      <c r="G358" s="368"/>
      <c r="H358" s="368"/>
      <c r="V358" s="368"/>
      <c r="W358" s="368"/>
    </row>
    <row r="359" spans="5:23" ht="42" customHeight="1">
      <c r="E359" s="368"/>
      <c r="F359" s="368"/>
      <c r="G359" s="368"/>
      <c r="H359" s="368"/>
      <c r="V359" s="368"/>
      <c r="W359" s="368"/>
    </row>
    <row r="360" spans="5:23" ht="42" customHeight="1">
      <c r="E360" s="368"/>
      <c r="F360" s="368"/>
      <c r="G360" s="368"/>
      <c r="H360" s="368"/>
      <c r="V360" s="368"/>
      <c r="W360" s="368"/>
    </row>
    <row r="361" spans="5:23" ht="42" customHeight="1">
      <c r="E361" s="368"/>
      <c r="F361" s="368"/>
      <c r="G361" s="368"/>
      <c r="H361" s="368"/>
      <c r="V361" s="368"/>
      <c r="W361" s="368"/>
    </row>
    <row r="362" spans="5:23" ht="42" customHeight="1">
      <c r="E362" s="368"/>
      <c r="F362" s="368"/>
      <c r="G362" s="368"/>
      <c r="H362" s="368"/>
      <c r="V362" s="368"/>
      <c r="W362" s="368"/>
    </row>
    <row r="363" spans="5:23" ht="42" customHeight="1">
      <c r="E363" s="368"/>
      <c r="F363" s="368"/>
      <c r="G363" s="368"/>
      <c r="H363" s="368"/>
      <c r="V363" s="368"/>
      <c r="W363" s="368"/>
    </row>
    <row r="364" spans="5:23" ht="42" customHeight="1">
      <c r="E364" s="368"/>
      <c r="F364" s="368"/>
      <c r="G364" s="368"/>
      <c r="H364" s="368"/>
      <c r="V364" s="368"/>
      <c r="W364" s="368"/>
    </row>
    <row r="365" spans="5:23" ht="42" customHeight="1">
      <c r="E365" s="368"/>
      <c r="F365" s="368"/>
      <c r="G365" s="368"/>
      <c r="H365" s="368"/>
      <c r="V365" s="368"/>
      <c r="W365" s="368"/>
    </row>
    <row r="366" spans="5:23" ht="42" customHeight="1">
      <c r="E366" s="368"/>
      <c r="F366" s="368"/>
      <c r="G366" s="368"/>
      <c r="H366" s="368"/>
      <c r="V366" s="368"/>
      <c r="W366" s="368"/>
    </row>
    <row r="367" spans="5:23" ht="42" customHeight="1">
      <c r="E367" s="368"/>
      <c r="F367" s="368"/>
      <c r="G367" s="368"/>
      <c r="H367" s="368"/>
      <c r="V367" s="368"/>
      <c r="W367" s="368"/>
    </row>
    <row r="368" spans="5:23" ht="42" customHeight="1">
      <c r="E368" s="368"/>
      <c r="F368" s="368"/>
      <c r="G368" s="368"/>
      <c r="H368" s="368"/>
      <c r="V368" s="368"/>
      <c r="W368" s="368"/>
    </row>
    <row r="369" spans="5:23" ht="42" customHeight="1">
      <c r="E369" s="368"/>
      <c r="F369" s="368"/>
      <c r="G369" s="368"/>
      <c r="H369" s="368"/>
      <c r="V369" s="368"/>
      <c r="W369" s="368"/>
    </row>
    <row r="370" spans="5:23" ht="42" customHeight="1">
      <c r="E370" s="368"/>
      <c r="F370" s="368"/>
      <c r="G370" s="368"/>
      <c r="H370" s="368"/>
      <c r="V370" s="368"/>
      <c r="W370" s="368"/>
    </row>
    <row r="371" spans="5:23" ht="42" customHeight="1">
      <c r="E371" s="368"/>
      <c r="F371" s="368"/>
      <c r="G371" s="368"/>
      <c r="H371" s="368"/>
      <c r="V371" s="368"/>
      <c r="W371" s="368"/>
    </row>
    <row r="372" spans="5:23" ht="42" customHeight="1">
      <c r="E372" s="368"/>
      <c r="F372" s="368"/>
      <c r="G372" s="368"/>
      <c r="H372" s="368"/>
      <c r="V372" s="368"/>
      <c r="W372" s="368"/>
    </row>
    <row r="373" spans="5:23" ht="42" customHeight="1">
      <c r="E373" s="368"/>
      <c r="F373" s="368"/>
      <c r="G373" s="368"/>
      <c r="H373" s="368"/>
      <c r="V373" s="368"/>
      <c r="W373" s="368"/>
    </row>
    <row r="374" spans="5:23" ht="42" customHeight="1">
      <c r="E374" s="368"/>
      <c r="F374" s="368"/>
      <c r="G374" s="368"/>
      <c r="H374" s="368"/>
      <c r="V374" s="368"/>
      <c r="W374" s="368"/>
    </row>
    <row r="375" spans="5:23" ht="42" customHeight="1">
      <c r="E375" s="368"/>
      <c r="F375" s="368"/>
      <c r="G375" s="368"/>
      <c r="H375" s="368"/>
      <c r="V375" s="368"/>
      <c r="W375" s="368"/>
    </row>
    <row r="376" spans="5:23" ht="42" customHeight="1">
      <c r="E376" s="368"/>
      <c r="F376" s="368"/>
      <c r="G376" s="368"/>
      <c r="H376" s="368"/>
      <c r="V376" s="368"/>
      <c r="W376" s="368"/>
    </row>
    <row r="377" spans="5:23" ht="42" customHeight="1">
      <c r="E377" s="368"/>
      <c r="F377" s="368"/>
      <c r="G377" s="368"/>
      <c r="H377" s="368"/>
      <c r="V377" s="368"/>
      <c r="W377" s="368"/>
    </row>
    <row r="378" spans="5:23" ht="42" customHeight="1">
      <c r="E378" s="368"/>
      <c r="F378" s="368"/>
      <c r="G378" s="368"/>
      <c r="H378" s="368"/>
      <c r="V378" s="368"/>
      <c r="W378" s="368"/>
    </row>
    <row r="379" spans="5:23" ht="42" customHeight="1">
      <c r="E379" s="368"/>
      <c r="F379" s="368"/>
      <c r="G379" s="368"/>
      <c r="H379" s="368"/>
      <c r="V379" s="368"/>
      <c r="W379" s="368"/>
    </row>
    <row r="380" spans="5:23" ht="42" customHeight="1">
      <c r="E380" s="368"/>
      <c r="F380" s="368"/>
      <c r="G380" s="368"/>
      <c r="H380" s="368"/>
      <c r="V380" s="368"/>
      <c r="W380" s="368"/>
    </row>
    <row r="381" spans="5:23" ht="42" customHeight="1">
      <c r="E381" s="368"/>
      <c r="F381" s="368"/>
      <c r="G381" s="368"/>
      <c r="H381" s="368"/>
      <c r="V381" s="368"/>
      <c r="W381" s="368"/>
    </row>
    <row r="382" spans="5:23" ht="42" customHeight="1">
      <c r="E382" s="368"/>
      <c r="F382" s="368"/>
      <c r="G382" s="368"/>
      <c r="H382" s="368"/>
      <c r="V382" s="368"/>
      <c r="W382" s="368"/>
    </row>
    <row r="383" spans="5:23" ht="42" customHeight="1">
      <c r="E383" s="368"/>
      <c r="F383" s="368"/>
      <c r="G383" s="368"/>
      <c r="H383" s="368"/>
      <c r="V383" s="368"/>
      <c r="W383" s="368"/>
    </row>
    <row r="384" spans="5:23" ht="42" customHeight="1">
      <c r="E384" s="368"/>
      <c r="F384" s="368"/>
      <c r="G384" s="368"/>
      <c r="H384" s="368"/>
      <c r="V384" s="368"/>
      <c r="W384" s="368"/>
    </row>
    <row r="385" spans="5:23" ht="42" customHeight="1">
      <c r="E385" s="368"/>
      <c r="F385" s="368"/>
      <c r="G385" s="368"/>
      <c r="H385" s="368"/>
      <c r="V385" s="368"/>
      <c r="W385" s="368"/>
    </row>
    <row r="386" spans="5:23" ht="42" customHeight="1">
      <c r="E386" s="368"/>
      <c r="F386" s="368"/>
      <c r="G386" s="368"/>
      <c r="H386" s="368"/>
      <c r="V386" s="368"/>
      <c r="W386" s="368"/>
    </row>
    <row r="387" spans="5:23" ht="42" customHeight="1">
      <c r="E387" s="368"/>
      <c r="F387" s="368"/>
      <c r="G387" s="368"/>
      <c r="H387" s="368"/>
      <c r="V387" s="368"/>
      <c r="W387" s="368"/>
    </row>
    <row r="388" spans="5:23" ht="42" customHeight="1">
      <c r="E388" s="368"/>
      <c r="F388" s="368"/>
      <c r="G388" s="368"/>
      <c r="H388" s="368"/>
      <c r="V388" s="368"/>
      <c r="W388" s="368"/>
    </row>
    <row r="389" spans="5:23" ht="42" customHeight="1">
      <c r="E389" s="368"/>
      <c r="F389" s="368"/>
      <c r="G389" s="368"/>
      <c r="H389" s="368"/>
      <c r="V389" s="368"/>
      <c r="W389" s="368"/>
    </row>
    <row r="390" spans="5:23" ht="42" customHeight="1">
      <c r="E390" s="368"/>
      <c r="F390" s="368"/>
      <c r="G390" s="368"/>
      <c r="H390" s="368"/>
      <c r="V390" s="368"/>
      <c r="W390" s="368"/>
    </row>
    <row r="391" spans="5:23" ht="42" customHeight="1">
      <c r="E391" s="368"/>
      <c r="F391" s="368"/>
      <c r="G391" s="368"/>
      <c r="H391" s="368"/>
      <c r="V391" s="368"/>
      <c r="W391" s="368"/>
    </row>
    <row r="392" spans="5:23" ht="42" customHeight="1">
      <c r="E392" s="368"/>
      <c r="F392" s="368"/>
      <c r="G392" s="368"/>
      <c r="H392" s="368"/>
      <c r="V392" s="368"/>
      <c r="W392" s="368"/>
    </row>
    <row r="393" spans="5:23" ht="42" customHeight="1">
      <c r="E393" s="368"/>
      <c r="F393" s="368"/>
      <c r="G393" s="368"/>
      <c r="H393" s="368"/>
      <c r="V393" s="368"/>
      <c r="W393" s="368"/>
    </row>
    <row r="394" spans="5:23" ht="42" customHeight="1">
      <c r="E394" s="368"/>
      <c r="F394" s="368"/>
      <c r="G394" s="368"/>
      <c r="H394" s="368"/>
      <c r="V394" s="368"/>
      <c r="W394" s="368"/>
    </row>
    <row r="395" spans="5:23" ht="42" customHeight="1">
      <c r="E395" s="368"/>
      <c r="F395" s="368"/>
      <c r="G395" s="368"/>
      <c r="H395" s="368"/>
      <c r="V395" s="368"/>
      <c r="W395" s="368"/>
    </row>
    <row r="396" spans="5:23" ht="42" customHeight="1">
      <c r="E396" s="368"/>
      <c r="F396" s="368"/>
      <c r="G396" s="368"/>
      <c r="H396" s="368"/>
      <c r="V396" s="368"/>
      <c r="W396" s="368"/>
    </row>
    <row r="397" spans="5:23" ht="42" customHeight="1">
      <c r="E397" s="368"/>
      <c r="F397" s="368"/>
      <c r="G397" s="368"/>
      <c r="H397" s="368"/>
      <c r="V397" s="368"/>
      <c r="W397" s="368"/>
    </row>
    <row r="398" spans="5:23" ht="42" customHeight="1">
      <c r="E398" s="368"/>
      <c r="F398" s="368"/>
      <c r="G398" s="368"/>
      <c r="H398" s="368"/>
      <c r="V398" s="368"/>
      <c r="W398" s="368"/>
    </row>
    <row r="399" spans="5:23" ht="42" customHeight="1">
      <c r="E399" s="368"/>
      <c r="F399" s="368"/>
      <c r="G399" s="368"/>
      <c r="H399" s="368"/>
      <c r="V399" s="368"/>
      <c r="W399" s="368"/>
    </row>
    <row r="400" spans="5:23" ht="42" customHeight="1">
      <c r="E400" s="368"/>
      <c r="F400" s="368"/>
      <c r="G400" s="368"/>
      <c r="H400" s="368"/>
      <c r="V400" s="368"/>
      <c r="W400" s="368"/>
    </row>
    <row r="401" spans="5:23" ht="42" customHeight="1">
      <c r="E401" s="368"/>
      <c r="F401" s="368"/>
      <c r="G401" s="368"/>
      <c r="H401" s="368"/>
      <c r="V401" s="368"/>
      <c r="W401" s="368"/>
    </row>
    <row r="402" spans="5:23" ht="42" customHeight="1">
      <c r="E402" s="368"/>
      <c r="F402" s="368"/>
      <c r="G402" s="368"/>
      <c r="H402" s="368"/>
      <c r="V402" s="368"/>
      <c r="W402" s="368"/>
    </row>
    <row r="403" spans="5:23" ht="42" customHeight="1">
      <c r="E403" s="368"/>
      <c r="F403" s="368"/>
      <c r="G403" s="368"/>
      <c r="H403" s="368"/>
      <c r="V403" s="368"/>
      <c r="W403" s="368"/>
    </row>
    <row r="404" spans="5:23" ht="42" customHeight="1">
      <c r="E404" s="368"/>
      <c r="F404" s="368"/>
      <c r="G404" s="368"/>
      <c r="H404" s="368"/>
      <c r="V404" s="368"/>
      <c r="W404" s="368"/>
    </row>
    <row r="405" spans="5:23" ht="42" customHeight="1">
      <c r="E405" s="368"/>
      <c r="F405" s="368"/>
      <c r="G405" s="368"/>
      <c r="H405" s="368"/>
      <c r="V405" s="368"/>
      <c r="W405" s="368"/>
    </row>
    <row r="406" spans="5:23" ht="42" customHeight="1">
      <c r="E406" s="368"/>
      <c r="F406" s="368"/>
      <c r="G406" s="368"/>
      <c r="H406" s="368"/>
      <c r="V406" s="368"/>
      <c r="W406" s="368"/>
    </row>
    <row r="407" spans="5:23" ht="42" customHeight="1">
      <c r="E407" s="368"/>
      <c r="F407" s="368"/>
      <c r="G407" s="368"/>
      <c r="H407" s="368"/>
      <c r="V407" s="368"/>
      <c r="W407" s="368"/>
    </row>
    <row r="408" spans="5:23" ht="42" customHeight="1">
      <c r="E408" s="368"/>
      <c r="F408" s="368"/>
      <c r="G408" s="368"/>
      <c r="H408" s="368"/>
      <c r="V408" s="368"/>
      <c r="W408" s="368"/>
    </row>
    <row r="409" spans="5:23" ht="42" customHeight="1">
      <c r="E409" s="368"/>
      <c r="F409" s="368"/>
      <c r="G409" s="368"/>
      <c r="H409" s="368"/>
      <c r="V409" s="368"/>
      <c r="W409" s="368"/>
    </row>
    <row r="410" spans="5:23" ht="42" customHeight="1">
      <c r="E410" s="368"/>
      <c r="F410" s="368"/>
      <c r="G410" s="368"/>
      <c r="H410" s="368"/>
      <c r="V410" s="368"/>
      <c r="W410" s="368"/>
    </row>
    <row r="411" spans="5:23" ht="42" customHeight="1">
      <c r="E411" s="368"/>
      <c r="F411" s="368"/>
      <c r="G411" s="368"/>
      <c r="H411" s="368"/>
      <c r="V411" s="368"/>
      <c r="W411" s="368"/>
    </row>
    <row r="412" spans="5:23" ht="42" customHeight="1">
      <c r="E412" s="368"/>
      <c r="F412" s="368"/>
      <c r="G412" s="368"/>
      <c r="H412" s="368"/>
      <c r="V412" s="368"/>
      <c r="W412" s="368"/>
    </row>
    <row r="413" spans="5:23" ht="42" customHeight="1">
      <c r="E413" s="368"/>
      <c r="F413" s="368"/>
      <c r="G413" s="368"/>
      <c r="H413" s="368"/>
      <c r="V413" s="368"/>
      <c r="W413" s="368"/>
    </row>
    <row r="414" spans="5:23" ht="42" customHeight="1">
      <c r="E414" s="368"/>
      <c r="F414" s="368"/>
      <c r="G414" s="368"/>
      <c r="H414" s="368"/>
      <c r="V414" s="368"/>
      <c r="W414" s="368"/>
    </row>
    <row r="415" spans="5:23" ht="42" customHeight="1">
      <c r="E415" s="368"/>
      <c r="F415" s="368"/>
      <c r="G415" s="368"/>
      <c r="H415" s="368"/>
      <c r="V415" s="368"/>
      <c r="W415" s="368"/>
    </row>
    <row r="416" spans="5:23" ht="42" customHeight="1">
      <c r="E416" s="368"/>
      <c r="F416" s="368"/>
      <c r="G416" s="368"/>
      <c r="H416" s="368"/>
      <c r="V416" s="368"/>
      <c r="W416" s="368"/>
    </row>
    <row r="417" spans="5:23" ht="42" customHeight="1">
      <c r="E417" s="368"/>
      <c r="F417" s="368"/>
      <c r="G417" s="368"/>
      <c r="H417" s="368"/>
      <c r="V417" s="368"/>
      <c r="W417" s="368"/>
    </row>
    <row r="418" spans="5:23" ht="42" customHeight="1">
      <c r="E418" s="368"/>
      <c r="F418" s="368"/>
      <c r="G418" s="368"/>
      <c r="H418" s="368"/>
      <c r="V418" s="368"/>
      <c r="W418" s="368"/>
    </row>
    <row r="419" spans="5:23" ht="42" customHeight="1">
      <c r="E419" s="368"/>
      <c r="F419" s="368"/>
      <c r="G419" s="368"/>
      <c r="H419" s="368"/>
      <c r="V419" s="368"/>
      <c r="W419" s="368"/>
    </row>
    <row r="420" spans="5:23" ht="42" customHeight="1">
      <c r="E420" s="368"/>
      <c r="F420" s="368"/>
      <c r="G420" s="368"/>
      <c r="H420" s="368"/>
      <c r="V420" s="368"/>
      <c r="W420" s="368"/>
    </row>
    <row r="421" spans="5:23" ht="42" customHeight="1">
      <c r="E421" s="368"/>
      <c r="F421" s="368"/>
      <c r="G421" s="368"/>
      <c r="H421" s="368"/>
      <c r="V421" s="368"/>
      <c r="W421" s="368"/>
    </row>
    <row r="422" spans="5:23" ht="42" customHeight="1">
      <c r="E422" s="368"/>
      <c r="F422" s="368"/>
      <c r="G422" s="368"/>
      <c r="H422" s="368"/>
      <c r="V422" s="368"/>
      <c r="W422" s="368"/>
    </row>
    <row r="423" spans="5:23" ht="42" customHeight="1">
      <c r="E423" s="368"/>
      <c r="F423" s="368"/>
      <c r="G423" s="368"/>
      <c r="H423" s="368"/>
      <c r="V423" s="368"/>
      <c r="W423" s="368"/>
    </row>
    <row r="424" spans="5:23" ht="42" customHeight="1">
      <c r="E424" s="368"/>
      <c r="F424" s="368"/>
      <c r="G424" s="368"/>
      <c r="H424" s="368"/>
      <c r="V424" s="368"/>
      <c r="W424" s="368"/>
    </row>
    <row r="425" spans="5:23" ht="42" customHeight="1">
      <c r="E425" s="368"/>
      <c r="F425" s="368"/>
      <c r="G425" s="368"/>
      <c r="H425" s="368"/>
      <c r="V425" s="368"/>
      <c r="W425" s="368"/>
    </row>
    <row r="426" spans="5:23" ht="42" customHeight="1">
      <c r="E426" s="368"/>
      <c r="F426" s="368"/>
      <c r="G426" s="368"/>
      <c r="H426" s="368"/>
      <c r="V426" s="368"/>
      <c r="W426" s="368"/>
    </row>
    <row r="427" spans="5:23" ht="42" customHeight="1">
      <c r="E427" s="368"/>
      <c r="F427" s="368"/>
      <c r="G427" s="368"/>
      <c r="H427" s="368"/>
      <c r="V427" s="368"/>
      <c r="W427" s="368"/>
    </row>
    <row r="428" spans="5:23" ht="42" customHeight="1">
      <c r="E428" s="368"/>
      <c r="F428" s="368"/>
      <c r="G428" s="368"/>
      <c r="H428" s="368"/>
      <c r="V428" s="368"/>
      <c r="W428" s="368"/>
    </row>
    <row r="429" spans="5:23" ht="42" customHeight="1">
      <c r="E429" s="368"/>
      <c r="F429" s="368"/>
      <c r="G429" s="368"/>
      <c r="H429" s="368"/>
      <c r="V429" s="368"/>
      <c r="W429" s="368"/>
    </row>
    <row r="430" spans="5:23" ht="42" customHeight="1">
      <c r="E430" s="368"/>
      <c r="F430" s="368"/>
      <c r="G430" s="368"/>
      <c r="H430" s="368"/>
      <c r="V430" s="368"/>
      <c r="W430" s="368"/>
    </row>
    <row r="431" spans="5:23" ht="42" customHeight="1">
      <c r="E431" s="368"/>
      <c r="F431" s="368"/>
      <c r="G431" s="368"/>
      <c r="H431" s="368"/>
      <c r="V431" s="368"/>
      <c r="W431" s="368"/>
    </row>
    <row r="432" spans="5:23" ht="42" customHeight="1">
      <c r="E432" s="368"/>
      <c r="F432" s="368"/>
      <c r="G432" s="368"/>
      <c r="H432" s="368"/>
      <c r="V432" s="368"/>
      <c r="W432" s="368"/>
    </row>
    <row r="433" spans="5:23" ht="42" customHeight="1">
      <c r="E433" s="368"/>
      <c r="F433" s="368"/>
      <c r="G433" s="368"/>
      <c r="H433" s="368"/>
      <c r="V433" s="368"/>
      <c r="W433" s="368"/>
    </row>
    <row r="434" spans="5:23" ht="42" customHeight="1">
      <c r="E434" s="368"/>
      <c r="F434" s="368"/>
      <c r="G434" s="368"/>
      <c r="H434" s="368"/>
      <c r="V434" s="368"/>
      <c r="W434" s="368"/>
    </row>
    <row r="435" spans="5:23" ht="42" customHeight="1">
      <c r="E435" s="368"/>
      <c r="F435" s="368"/>
      <c r="G435" s="368"/>
      <c r="H435" s="368"/>
      <c r="V435" s="368"/>
      <c r="W435" s="368"/>
    </row>
    <row r="436" spans="5:23" ht="42" customHeight="1">
      <c r="E436" s="368"/>
      <c r="F436" s="368"/>
      <c r="G436" s="368"/>
      <c r="H436" s="368"/>
      <c r="V436" s="368"/>
      <c r="W436" s="368"/>
    </row>
    <row r="437" spans="5:23" ht="42" customHeight="1">
      <c r="E437" s="368"/>
      <c r="F437" s="368"/>
      <c r="G437" s="368"/>
      <c r="H437" s="368"/>
      <c r="V437" s="368"/>
      <c r="W437" s="368"/>
    </row>
    <row r="438" spans="5:23" ht="42" customHeight="1">
      <c r="E438" s="368"/>
      <c r="F438" s="368"/>
      <c r="G438" s="368"/>
      <c r="H438" s="368"/>
      <c r="V438" s="368"/>
      <c r="W438" s="368"/>
    </row>
    <row r="439" spans="5:23" ht="42" customHeight="1">
      <c r="E439" s="368"/>
      <c r="F439" s="368"/>
      <c r="G439" s="368"/>
      <c r="H439" s="368"/>
      <c r="V439" s="368"/>
      <c r="W439" s="368"/>
    </row>
    <row r="440" spans="5:23" ht="42" customHeight="1">
      <c r="E440" s="368"/>
      <c r="F440" s="368"/>
      <c r="G440" s="368"/>
      <c r="H440" s="368"/>
      <c r="V440" s="368"/>
      <c r="W440" s="368"/>
    </row>
    <row r="441" spans="5:23" ht="42" customHeight="1">
      <c r="E441" s="368"/>
      <c r="F441" s="368"/>
      <c r="G441" s="368"/>
      <c r="H441" s="368"/>
      <c r="V441" s="368"/>
      <c r="W441" s="368"/>
    </row>
    <row r="442" spans="5:23" ht="42" customHeight="1">
      <c r="E442" s="368"/>
      <c r="F442" s="368"/>
      <c r="G442" s="368"/>
      <c r="H442" s="368"/>
      <c r="V442" s="368"/>
      <c r="W442" s="368"/>
    </row>
    <row r="443" spans="5:23" ht="42" customHeight="1">
      <c r="E443" s="368"/>
      <c r="F443" s="368"/>
      <c r="G443" s="368"/>
      <c r="H443" s="368"/>
      <c r="V443" s="368"/>
      <c r="W443" s="368"/>
    </row>
    <row r="444" spans="5:23" ht="42" customHeight="1">
      <c r="E444" s="368"/>
      <c r="F444" s="368"/>
      <c r="G444" s="368"/>
      <c r="H444" s="368"/>
      <c r="V444" s="368"/>
      <c r="W444" s="368"/>
    </row>
    <row r="445" spans="5:23" ht="42" customHeight="1">
      <c r="E445" s="368"/>
      <c r="F445" s="368"/>
      <c r="G445" s="368"/>
      <c r="H445" s="368"/>
      <c r="V445" s="368"/>
      <c r="W445" s="368"/>
    </row>
    <row r="446" spans="5:23" ht="42" customHeight="1">
      <c r="E446" s="368"/>
      <c r="F446" s="368"/>
      <c r="G446" s="368"/>
      <c r="H446" s="368"/>
      <c r="V446" s="368"/>
      <c r="W446" s="368"/>
    </row>
    <row r="447" spans="5:23" ht="42" customHeight="1">
      <c r="E447" s="368"/>
      <c r="F447" s="368"/>
      <c r="G447" s="368"/>
      <c r="H447" s="368"/>
      <c r="V447" s="368"/>
      <c r="W447" s="368"/>
    </row>
    <row r="448" spans="5:23" ht="42" customHeight="1">
      <c r="E448" s="368"/>
      <c r="F448" s="368"/>
      <c r="G448" s="368"/>
      <c r="H448" s="368"/>
      <c r="V448" s="368"/>
      <c r="W448" s="368"/>
    </row>
    <row r="449" spans="5:23" ht="42" customHeight="1">
      <c r="E449" s="368"/>
      <c r="F449" s="368"/>
      <c r="G449" s="368"/>
      <c r="H449" s="368"/>
      <c r="V449" s="368"/>
      <c r="W449" s="368"/>
    </row>
    <row r="450" spans="5:23" ht="42" customHeight="1">
      <c r="E450" s="368"/>
      <c r="F450" s="368"/>
      <c r="G450" s="368"/>
      <c r="H450" s="368"/>
      <c r="V450" s="368"/>
      <c r="W450" s="368"/>
    </row>
    <row r="451" spans="5:23" ht="42" customHeight="1">
      <c r="E451" s="368"/>
      <c r="F451" s="368"/>
      <c r="G451" s="368"/>
      <c r="H451" s="368"/>
      <c r="V451" s="368"/>
      <c r="W451" s="368"/>
    </row>
    <row r="452" spans="5:23" ht="42" customHeight="1">
      <c r="E452" s="368"/>
      <c r="F452" s="368"/>
      <c r="G452" s="368"/>
      <c r="H452" s="368"/>
      <c r="V452" s="368"/>
      <c r="W452" s="368"/>
    </row>
    <row r="453" spans="5:23" ht="42" customHeight="1">
      <c r="E453" s="368"/>
      <c r="F453" s="368"/>
      <c r="G453" s="368"/>
      <c r="H453" s="368"/>
      <c r="V453" s="368"/>
      <c r="W453" s="368"/>
    </row>
    <row r="454" spans="5:23" ht="42" customHeight="1">
      <c r="E454" s="368"/>
      <c r="F454" s="368"/>
      <c r="G454" s="368"/>
      <c r="H454" s="368"/>
      <c r="V454" s="368"/>
      <c r="W454" s="368"/>
    </row>
    <row r="455" spans="5:23" ht="42" customHeight="1">
      <c r="E455" s="368"/>
      <c r="F455" s="368"/>
      <c r="G455" s="368"/>
      <c r="H455" s="368"/>
      <c r="V455" s="368"/>
      <c r="W455" s="368"/>
    </row>
    <row r="456" spans="5:23" ht="42" customHeight="1">
      <c r="E456" s="368"/>
      <c r="F456" s="368"/>
      <c r="G456" s="368"/>
      <c r="H456" s="368"/>
      <c r="V456" s="368"/>
      <c r="W456" s="368"/>
    </row>
    <row r="457" spans="5:23" ht="42" customHeight="1">
      <c r="E457" s="368"/>
      <c r="F457" s="368"/>
      <c r="G457" s="368"/>
      <c r="H457" s="368"/>
      <c r="V457" s="368"/>
      <c r="W457" s="368"/>
    </row>
    <row r="458" spans="5:23" ht="42" customHeight="1">
      <c r="E458" s="368"/>
      <c r="F458" s="368"/>
      <c r="G458" s="368"/>
      <c r="H458" s="368"/>
      <c r="V458" s="368"/>
      <c r="W458" s="368"/>
    </row>
    <row r="459" spans="5:23" ht="42" customHeight="1">
      <c r="E459" s="368"/>
      <c r="F459" s="368"/>
      <c r="G459" s="368"/>
      <c r="H459" s="368"/>
      <c r="V459" s="368"/>
      <c r="W459" s="368"/>
    </row>
    <row r="460" spans="5:23" ht="42" customHeight="1">
      <c r="E460" s="368"/>
      <c r="F460" s="368"/>
      <c r="G460" s="368"/>
      <c r="H460" s="368"/>
      <c r="V460" s="368"/>
      <c r="W460" s="368"/>
    </row>
    <row r="461" spans="5:23" ht="42" customHeight="1">
      <c r="E461" s="368"/>
      <c r="F461" s="368"/>
      <c r="G461" s="368"/>
      <c r="H461" s="368"/>
      <c r="V461" s="368"/>
      <c r="W461" s="368"/>
    </row>
    <row r="462" spans="5:23" ht="42" customHeight="1">
      <c r="E462" s="368"/>
      <c r="F462" s="368"/>
      <c r="G462" s="368"/>
      <c r="H462" s="368"/>
      <c r="V462" s="368"/>
      <c r="W462" s="368"/>
    </row>
    <row r="463" spans="5:23" ht="42" customHeight="1">
      <c r="E463" s="368"/>
      <c r="F463" s="368"/>
      <c r="G463" s="368"/>
      <c r="H463" s="368"/>
      <c r="V463" s="368"/>
      <c r="W463" s="368"/>
    </row>
    <row r="464" spans="5:23" ht="42" customHeight="1">
      <c r="E464" s="368"/>
      <c r="F464" s="368"/>
      <c r="G464" s="368"/>
      <c r="H464" s="368"/>
      <c r="V464" s="368"/>
      <c r="W464" s="368"/>
    </row>
    <row r="465" spans="5:23" ht="42" customHeight="1">
      <c r="E465" s="368"/>
      <c r="F465" s="368"/>
      <c r="G465" s="368"/>
      <c r="H465" s="368"/>
      <c r="V465" s="368"/>
      <c r="W465" s="368"/>
    </row>
    <row r="466" spans="5:23" ht="42" customHeight="1">
      <c r="E466" s="368"/>
      <c r="F466" s="368"/>
      <c r="G466" s="368"/>
      <c r="H466" s="368"/>
      <c r="V466" s="368"/>
      <c r="W466" s="368"/>
    </row>
    <row r="467" spans="5:23" ht="42" customHeight="1">
      <c r="E467" s="368"/>
      <c r="F467" s="368"/>
      <c r="G467" s="368"/>
      <c r="H467" s="368"/>
      <c r="V467" s="368"/>
      <c r="W467" s="368"/>
    </row>
    <row r="468" spans="5:23" ht="42" customHeight="1">
      <c r="E468" s="368"/>
      <c r="F468" s="368"/>
      <c r="G468" s="368"/>
      <c r="H468" s="368"/>
      <c r="V468" s="368"/>
      <c r="W468" s="368"/>
    </row>
    <row r="469" spans="5:23" ht="42" customHeight="1">
      <c r="E469" s="368"/>
      <c r="F469" s="368"/>
      <c r="G469" s="368"/>
      <c r="H469" s="368"/>
      <c r="V469" s="368"/>
      <c r="W469" s="368"/>
    </row>
    <row r="470" spans="5:23" ht="42" customHeight="1">
      <c r="E470" s="368"/>
      <c r="F470" s="368"/>
      <c r="G470" s="368"/>
      <c r="H470" s="368"/>
      <c r="V470" s="368"/>
      <c r="W470" s="368"/>
    </row>
    <row r="471" spans="5:23" ht="42" customHeight="1">
      <c r="E471" s="368"/>
      <c r="F471" s="368"/>
      <c r="G471" s="368"/>
      <c r="H471" s="368"/>
      <c r="V471" s="368"/>
      <c r="W471" s="368"/>
    </row>
    <row r="472" spans="5:23" ht="42" customHeight="1">
      <c r="E472" s="368"/>
      <c r="F472" s="368"/>
      <c r="G472" s="368"/>
      <c r="H472" s="368"/>
      <c r="V472" s="368"/>
      <c r="W472" s="368"/>
    </row>
    <row r="473" spans="5:23" ht="42" customHeight="1">
      <c r="E473" s="368"/>
      <c r="F473" s="368"/>
      <c r="G473" s="368"/>
      <c r="H473" s="368"/>
      <c r="V473" s="368"/>
      <c r="W473" s="368"/>
    </row>
    <row r="474" spans="5:23" ht="42" customHeight="1">
      <c r="E474" s="368"/>
      <c r="F474" s="368"/>
      <c r="G474" s="368"/>
      <c r="H474" s="368"/>
      <c r="V474" s="368"/>
      <c r="W474" s="368"/>
    </row>
    <row r="475" spans="5:23" ht="42" customHeight="1">
      <c r="E475" s="368"/>
      <c r="F475" s="368"/>
      <c r="G475" s="368"/>
      <c r="H475" s="368"/>
      <c r="V475" s="368"/>
      <c r="W475" s="368"/>
    </row>
    <row r="476" spans="5:23" ht="42" customHeight="1">
      <c r="E476" s="368"/>
      <c r="F476" s="368"/>
      <c r="G476" s="368"/>
      <c r="H476" s="368"/>
      <c r="V476" s="368"/>
      <c r="W476" s="368"/>
    </row>
    <row r="477" spans="5:23" ht="42" customHeight="1">
      <c r="E477" s="368"/>
      <c r="F477" s="368"/>
      <c r="G477" s="368"/>
      <c r="H477" s="368"/>
      <c r="V477" s="368"/>
      <c r="W477" s="368"/>
    </row>
    <row r="478" spans="5:23" ht="42" customHeight="1">
      <c r="E478" s="368"/>
      <c r="F478" s="368"/>
      <c r="G478" s="368"/>
      <c r="H478" s="368"/>
      <c r="V478" s="368"/>
      <c r="W478" s="368"/>
    </row>
    <row r="479" spans="5:23" ht="42" customHeight="1">
      <c r="E479" s="368"/>
      <c r="F479" s="368"/>
      <c r="G479" s="368"/>
      <c r="H479" s="368"/>
      <c r="V479" s="368"/>
      <c r="W479" s="368"/>
    </row>
    <row r="480" spans="5:23" ht="42" customHeight="1">
      <c r="E480" s="368"/>
      <c r="F480" s="368"/>
      <c r="G480" s="368"/>
      <c r="H480" s="368"/>
      <c r="V480" s="368"/>
      <c r="W480" s="368"/>
    </row>
    <row r="481" spans="5:23" ht="42" customHeight="1">
      <c r="E481" s="368"/>
      <c r="F481" s="368"/>
      <c r="G481" s="368"/>
      <c r="H481" s="368"/>
      <c r="V481" s="368"/>
      <c r="W481" s="368"/>
    </row>
    <row r="482" spans="5:23" ht="42" customHeight="1">
      <c r="E482" s="368"/>
      <c r="F482" s="368"/>
      <c r="G482" s="368"/>
      <c r="H482" s="368"/>
      <c r="V482" s="368"/>
      <c r="W482" s="368"/>
    </row>
    <row r="483" spans="5:23" ht="42" customHeight="1">
      <c r="E483" s="368"/>
      <c r="F483" s="368"/>
      <c r="G483" s="368"/>
      <c r="H483" s="368"/>
      <c r="V483" s="368"/>
      <c r="W483" s="368"/>
    </row>
    <row r="484" spans="5:23" ht="42" customHeight="1">
      <c r="E484" s="368"/>
      <c r="F484" s="368"/>
      <c r="G484" s="368"/>
      <c r="H484" s="368"/>
      <c r="V484" s="368"/>
      <c r="W484" s="368"/>
    </row>
    <row r="485" spans="5:23" ht="42" customHeight="1">
      <c r="E485" s="368"/>
      <c r="F485" s="368"/>
      <c r="G485" s="368"/>
      <c r="H485" s="368"/>
      <c r="V485" s="368"/>
      <c r="W485" s="368"/>
    </row>
    <row r="486" spans="5:23" ht="42" customHeight="1">
      <c r="E486" s="368"/>
      <c r="F486" s="368"/>
      <c r="G486" s="368"/>
      <c r="H486" s="368"/>
      <c r="V486" s="368"/>
      <c r="W486" s="368"/>
    </row>
    <row r="487" spans="5:23" ht="42" customHeight="1">
      <c r="E487" s="368"/>
      <c r="F487" s="368"/>
      <c r="G487" s="368"/>
      <c r="H487" s="368"/>
      <c r="V487" s="368"/>
      <c r="W487" s="368"/>
    </row>
    <row r="488" spans="5:23" ht="42" customHeight="1">
      <c r="E488" s="368"/>
      <c r="F488" s="368"/>
      <c r="G488" s="368"/>
      <c r="H488" s="368"/>
      <c r="V488" s="368"/>
      <c r="W488" s="368"/>
    </row>
    <row r="489" spans="5:23" ht="42" customHeight="1">
      <c r="E489" s="368"/>
      <c r="F489" s="368"/>
      <c r="G489" s="368"/>
      <c r="H489" s="368"/>
      <c r="V489" s="368"/>
      <c r="W489" s="368"/>
    </row>
    <row r="490" spans="5:23" ht="42" customHeight="1">
      <c r="E490" s="368"/>
      <c r="F490" s="368"/>
      <c r="G490" s="368"/>
      <c r="H490" s="368"/>
      <c r="V490" s="368"/>
      <c r="W490" s="368"/>
    </row>
    <row r="491" spans="5:23" ht="42" customHeight="1">
      <c r="E491" s="368"/>
      <c r="F491" s="368"/>
      <c r="G491" s="368"/>
      <c r="H491" s="368"/>
      <c r="V491" s="368"/>
      <c r="W491" s="368"/>
    </row>
    <row r="492" spans="5:23" ht="42" customHeight="1">
      <c r="E492" s="368"/>
      <c r="F492" s="368"/>
      <c r="G492" s="368"/>
      <c r="H492" s="368"/>
      <c r="V492" s="368"/>
      <c r="W492" s="368"/>
    </row>
    <row r="493" spans="5:23" ht="42" customHeight="1">
      <c r="E493" s="368"/>
      <c r="F493" s="368"/>
      <c r="G493" s="368"/>
      <c r="H493" s="368"/>
      <c r="V493" s="368"/>
      <c r="W493" s="368"/>
    </row>
    <row r="494" spans="5:23" ht="42" customHeight="1">
      <c r="E494" s="368"/>
      <c r="F494" s="368"/>
      <c r="G494" s="368"/>
      <c r="H494" s="368"/>
      <c r="V494" s="368"/>
      <c r="W494" s="368"/>
    </row>
    <row r="495" spans="5:23" ht="42" customHeight="1">
      <c r="E495" s="368"/>
      <c r="F495" s="368"/>
      <c r="G495" s="368"/>
      <c r="H495" s="368"/>
      <c r="V495" s="368"/>
      <c r="W495" s="368"/>
    </row>
    <row r="496" spans="5:23" ht="42" customHeight="1">
      <c r="E496" s="368"/>
      <c r="F496" s="368"/>
      <c r="G496" s="368"/>
      <c r="H496" s="368"/>
      <c r="V496" s="368"/>
      <c r="W496" s="368"/>
    </row>
    <row r="497" spans="5:23" ht="42" customHeight="1">
      <c r="E497" s="368"/>
      <c r="F497" s="368"/>
      <c r="G497" s="368"/>
      <c r="H497" s="368"/>
      <c r="V497" s="368"/>
      <c r="W497" s="368"/>
    </row>
    <row r="498" spans="5:23" ht="42" customHeight="1">
      <c r="E498" s="368"/>
      <c r="F498" s="368"/>
      <c r="G498" s="368"/>
      <c r="H498" s="368"/>
      <c r="V498" s="368"/>
      <c r="W498" s="368"/>
    </row>
    <row r="499" spans="5:23" ht="42" customHeight="1">
      <c r="E499" s="368"/>
      <c r="F499" s="368"/>
      <c r="G499" s="368"/>
      <c r="H499" s="368"/>
      <c r="V499" s="368"/>
      <c r="W499" s="368"/>
    </row>
    <row r="500" spans="5:23" ht="42" customHeight="1">
      <c r="E500" s="368"/>
      <c r="F500" s="368"/>
      <c r="G500" s="368"/>
      <c r="H500" s="368"/>
      <c r="V500" s="368"/>
      <c r="W500" s="368"/>
    </row>
    <row r="501" spans="5:23" ht="42" customHeight="1">
      <c r="E501" s="368"/>
      <c r="F501" s="368"/>
      <c r="G501" s="368"/>
      <c r="H501" s="368"/>
      <c r="V501" s="368"/>
      <c r="W501" s="368"/>
    </row>
    <row r="502" spans="5:23" ht="42" customHeight="1">
      <c r="E502" s="368"/>
      <c r="F502" s="368"/>
      <c r="G502" s="368"/>
      <c r="H502" s="368"/>
      <c r="V502" s="368"/>
      <c r="W502" s="368"/>
    </row>
    <row r="503" spans="5:23" ht="42" customHeight="1">
      <c r="E503" s="368"/>
      <c r="F503" s="368"/>
      <c r="G503" s="368"/>
      <c r="H503" s="368"/>
      <c r="V503" s="368"/>
      <c r="W503" s="368"/>
    </row>
    <row r="504" spans="5:23" ht="42" customHeight="1">
      <c r="E504" s="368"/>
      <c r="F504" s="368"/>
      <c r="G504" s="368"/>
      <c r="H504" s="368"/>
      <c r="V504" s="368"/>
      <c r="W504" s="368"/>
    </row>
    <row r="505" spans="5:23" ht="42" customHeight="1">
      <c r="E505" s="368"/>
      <c r="F505" s="368"/>
      <c r="G505" s="368"/>
      <c r="H505" s="368"/>
      <c r="V505" s="368"/>
      <c r="W505" s="368"/>
    </row>
    <row r="506" spans="5:23" ht="42" customHeight="1">
      <c r="E506" s="368"/>
      <c r="F506" s="368"/>
      <c r="G506" s="368"/>
      <c r="H506" s="368"/>
      <c r="V506" s="368"/>
      <c r="W506" s="368"/>
    </row>
    <row r="507" spans="5:23" ht="42" customHeight="1">
      <c r="E507" s="368"/>
      <c r="F507" s="368"/>
      <c r="G507" s="368"/>
      <c r="H507" s="368"/>
      <c r="V507" s="368"/>
      <c r="W507" s="368"/>
    </row>
    <row r="508" spans="5:23" ht="42" customHeight="1">
      <c r="E508" s="368"/>
      <c r="F508" s="368"/>
      <c r="G508" s="368"/>
      <c r="H508" s="368"/>
      <c r="V508" s="368"/>
      <c r="W508" s="368"/>
    </row>
    <row r="509" spans="5:23" ht="42" customHeight="1">
      <c r="E509" s="368"/>
      <c r="F509" s="368"/>
      <c r="G509" s="368"/>
      <c r="H509" s="368"/>
      <c r="V509" s="368"/>
      <c r="W509" s="368"/>
    </row>
    <row r="510" spans="5:23" ht="42" customHeight="1">
      <c r="E510" s="368"/>
      <c r="F510" s="368"/>
      <c r="G510" s="368"/>
      <c r="H510" s="368"/>
      <c r="V510" s="368"/>
      <c r="W510" s="368"/>
    </row>
    <row r="511" spans="5:23" ht="42" customHeight="1">
      <c r="E511" s="368"/>
      <c r="F511" s="368"/>
      <c r="G511" s="368"/>
      <c r="H511" s="368"/>
      <c r="V511" s="368"/>
      <c r="W511" s="368"/>
    </row>
    <row r="512" spans="5:23" ht="42" customHeight="1">
      <c r="E512" s="368"/>
      <c r="F512" s="368"/>
      <c r="G512" s="368"/>
      <c r="H512" s="368"/>
      <c r="V512" s="368"/>
      <c r="W512" s="368"/>
    </row>
    <row r="513" spans="5:23" ht="42" customHeight="1">
      <c r="E513" s="368"/>
      <c r="F513" s="368"/>
      <c r="G513" s="368"/>
      <c r="H513" s="368"/>
      <c r="V513" s="368"/>
      <c r="W513" s="368"/>
    </row>
    <row r="514" spans="5:23" ht="42" customHeight="1">
      <c r="E514" s="368"/>
      <c r="F514" s="368"/>
      <c r="G514" s="368"/>
      <c r="H514" s="368"/>
      <c r="V514" s="368"/>
      <c r="W514" s="368"/>
    </row>
    <row r="515" spans="5:23" ht="42" customHeight="1">
      <c r="E515" s="368"/>
      <c r="F515" s="368"/>
      <c r="G515" s="368"/>
      <c r="H515" s="368"/>
      <c r="V515" s="368"/>
      <c r="W515" s="368"/>
    </row>
    <row r="516" spans="5:23" ht="42" customHeight="1">
      <c r="E516" s="368"/>
      <c r="F516" s="368"/>
      <c r="G516" s="368"/>
      <c r="H516" s="368"/>
      <c r="V516" s="368"/>
      <c r="W516" s="368"/>
    </row>
    <row r="517" spans="5:23" ht="42" customHeight="1">
      <c r="E517" s="368"/>
      <c r="F517" s="368"/>
      <c r="G517" s="368"/>
      <c r="H517" s="368"/>
      <c r="V517" s="368"/>
      <c r="W517" s="368"/>
    </row>
    <row r="518" spans="5:23" ht="42" customHeight="1">
      <c r="E518" s="368"/>
      <c r="F518" s="368"/>
      <c r="G518" s="368"/>
      <c r="H518" s="368"/>
      <c r="V518" s="368"/>
      <c r="W518" s="368"/>
    </row>
    <row r="519" spans="5:23" ht="42" customHeight="1">
      <c r="E519" s="368"/>
      <c r="F519" s="368"/>
      <c r="G519" s="368"/>
      <c r="H519" s="368"/>
      <c r="V519" s="368"/>
      <c r="W519" s="368"/>
    </row>
    <row r="520" spans="5:23" ht="42" customHeight="1">
      <c r="E520" s="368"/>
      <c r="F520" s="368"/>
      <c r="G520" s="368"/>
      <c r="H520" s="368"/>
      <c r="V520" s="368"/>
      <c r="W520" s="368"/>
    </row>
    <row r="521" spans="5:23" ht="42" customHeight="1">
      <c r="E521" s="368"/>
      <c r="F521" s="368"/>
      <c r="G521" s="368"/>
      <c r="H521" s="368"/>
      <c r="V521" s="368"/>
      <c r="W521" s="368"/>
    </row>
    <row r="522" spans="5:23" ht="42" customHeight="1">
      <c r="E522" s="368"/>
      <c r="F522" s="368"/>
      <c r="G522" s="368"/>
      <c r="H522" s="368"/>
      <c r="V522" s="368"/>
      <c r="W522" s="368"/>
    </row>
    <row r="523" spans="5:23" ht="42" customHeight="1">
      <c r="E523" s="368"/>
      <c r="F523" s="368"/>
      <c r="G523" s="368"/>
      <c r="H523" s="368"/>
      <c r="V523" s="368"/>
      <c r="W523" s="368"/>
    </row>
    <row r="524" spans="5:23" ht="42" customHeight="1">
      <c r="E524" s="368"/>
      <c r="F524" s="368"/>
      <c r="G524" s="368"/>
      <c r="H524" s="368"/>
      <c r="V524" s="368"/>
      <c r="W524" s="368"/>
    </row>
    <row r="525" spans="5:23" ht="42" customHeight="1">
      <c r="E525" s="368"/>
      <c r="F525" s="368"/>
      <c r="G525" s="368"/>
      <c r="H525" s="368"/>
      <c r="V525" s="368"/>
      <c r="W525" s="368"/>
    </row>
    <row r="526" spans="5:23" ht="42" customHeight="1">
      <c r="E526" s="368"/>
      <c r="F526" s="368"/>
      <c r="G526" s="368"/>
      <c r="H526" s="368"/>
      <c r="V526" s="368"/>
      <c r="W526" s="368"/>
    </row>
    <row r="527" spans="5:23" ht="42" customHeight="1">
      <c r="E527" s="368"/>
      <c r="F527" s="368"/>
      <c r="G527" s="368"/>
      <c r="H527" s="368"/>
      <c r="V527" s="368"/>
      <c r="W527" s="368"/>
    </row>
    <row r="528" spans="5:23" ht="42" customHeight="1">
      <c r="E528" s="368"/>
      <c r="F528" s="368"/>
      <c r="G528" s="368"/>
      <c r="H528" s="368"/>
      <c r="V528" s="368"/>
      <c r="W528" s="368"/>
    </row>
    <row r="529" spans="5:23" ht="42" customHeight="1">
      <c r="E529" s="368"/>
      <c r="F529" s="368"/>
      <c r="G529" s="368"/>
      <c r="H529" s="368"/>
      <c r="V529" s="368"/>
      <c r="W529" s="368"/>
    </row>
    <row r="530" spans="5:23" ht="42" customHeight="1">
      <c r="E530" s="368"/>
      <c r="F530" s="368"/>
      <c r="G530" s="368"/>
      <c r="H530" s="368"/>
      <c r="V530" s="368"/>
      <c r="W530" s="368"/>
    </row>
    <row r="531" spans="5:23" ht="42" customHeight="1">
      <c r="E531" s="368"/>
      <c r="F531" s="368"/>
      <c r="G531" s="368"/>
      <c r="H531" s="368"/>
      <c r="V531" s="368"/>
      <c r="W531" s="368"/>
    </row>
    <row r="532" spans="5:23" ht="42" customHeight="1">
      <c r="E532" s="368"/>
      <c r="F532" s="368"/>
      <c r="G532" s="368"/>
      <c r="H532" s="368"/>
      <c r="V532" s="368"/>
      <c r="W532" s="368"/>
    </row>
    <row r="533" spans="5:23" ht="42" customHeight="1">
      <c r="E533" s="368"/>
      <c r="F533" s="368"/>
      <c r="G533" s="368"/>
      <c r="H533" s="368"/>
      <c r="V533" s="368"/>
      <c r="W533" s="368"/>
    </row>
    <row r="534" spans="5:23" ht="42" customHeight="1">
      <c r="E534" s="368"/>
      <c r="F534" s="368"/>
      <c r="G534" s="368"/>
      <c r="H534" s="368"/>
      <c r="V534" s="368"/>
      <c r="W534" s="368"/>
    </row>
    <row r="535" spans="5:23" ht="42" customHeight="1">
      <c r="E535" s="368"/>
      <c r="F535" s="368"/>
      <c r="G535" s="368"/>
      <c r="H535" s="368"/>
      <c r="V535" s="368"/>
      <c r="W535" s="368"/>
    </row>
    <row r="536" spans="5:23" ht="42" customHeight="1">
      <c r="E536" s="368"/>
      <c r="F536" s="368"/>
      <c r="G536" s="368"/>
      <c r="H536" s="368"/>
      <c r="V536" s="368"/>
      <c r="W536" s="368"/>
    </row>
    <row r="537" spans="5:23" ht="42" customHeight="1">
      <c r="E537" s="368"/>
      <c r="F537" s="368"/>
      <c r="G537" s="368"/>
      <c r="H537" s="368"/>
      <c r="V537" s="368"/>
      <c r="W537" s="368"/>
    </row>
    <row r="538" spans="5:23" ht="42" customHeight="1">
      <c r="E538" s="368"/>
      <c r="F538" s="368"/>
      <c r="G538" s="368"/>
      <c r="H538" s="368"/>
      <c r="V538" s="368"/>
      <c r="W538" s="368"/>
    </row>
    <row r="539" spans="5:23" ht="42" customHeight="1">
      <c r="E539" s="368"/>
      <c r="F539" s="368"/>
      <c r="G539" s="368"/>
      <c r="H539" s="368"/>
      <c r="V539" s="368"/>
      <c r="W539" s="368"/>
    </row>
    <row r="540" spans="5:23" ht="42" customHeight="1">
      <c r="E540" s="368"/>
      <c r="F540" s="368"/>
      <c r="G540" s="368"/>
      <c r="H540" s="368"/>
      <c r="V540" s="368"/>
      <c r="W540" s="368"/>
    </row>
    <row r="541" spans="5:23" ht="42" customHeight="1">
      <c r="E541" s="368"/>
      <c r="F541" s="368"/>
      <c r="G541" s="368"/>
      <c r="H541" s="368"/>
      <c r="V541" s="368"/>
      <c r="W541" s="368"/>
    </row>
    <row r="542" spans="5:23" ht="42" customHeight="1">
      <c r="E542" s="368"/>
      <c r="F542" s="368"/>
      <c r="G542" s="368"/>
      <c r="H542" s="368"/>
      <c r="V542" s="368"/>
      <c r="W542" s="368"/>
    </row>
    <row r="543" spans="5:23" ht="42" customHeight="1">
      <c r="E543" s="368"/>
      <c r="F543" s="368"/>
      <c r="G543" s="368"/>
      <c r="H543" s="368"/>
      <c r="V543" s="368"/>
      <c r="W543" s="368"/>
    </row>
    <row r="544" spans="5:23" ht="42" customHeight="1">
      <c r="E544" s="368"/>
      <c r="F544" s="368"/>
      <c r="G544" s="368"/>
      <c r="H544" s="368"/>
      <c r="V544" s="368"/>
      <c r="W544" s="368"/>
    </row>
    <row r="545" spans="5:23" ht="42" customHeight="1">
      <c r="E545" s="368"/>
      <c r="F545" s="368"/>
      <c r="G545" s="368"/>
      <c r="H545" s="368"/>
      <c r="V545" s="368"/>
      <c r="W545" s="368"/>
    </row>
    <row r="546" spans="5:23" ht="42" customHeight="1">
      <c r="E546" s="368"/>
      <c r="F546" s="368"/>
      <c r="G546" s="368"/>
      <c r="H546" s="368"/>
      <c r="V546" s="368"/>
      <c r="W546" s="368"/>
    </row>
    <row r="547" spans="5:23" ht="42" customHeight="1">
      <c r="E547" s="368"/>
      <c r="F547" s="368"/>
      <c r="G547" s="368"/>
      <c r="H547" s="368"/>
      <c r="V547" s="368"/>
      <c r="W547" s="368"/>
    </row>
    <row r="548" spans="5:23" ht="42" customHeight="1">
      <c r="E548" s="368"/>
      <c r="F548" s="368"/>
      <c r="G548" s="368"/>
      <c r="H548" s="368"/>
      <c r="V548" s="368"/>
      <c r="W548" s="368"/>
    </row>
    <row r="549" spans="5:23" ht="42" customHeight="1">
      <c r="E549" s="368"/>
      <c r="F549" s="368"/>
      <c r="G549" s="368"/>
      <c r="H549" s="368"/>
      <c r="V549" s="368"/>
      <c r="W549" s="368"/>
    </row>
    <row r="550" spans="5:23" ht="42" customHeight="1">
      <c r="E550" s="368"/>
      <c r="F550" s="368"/>
      <c r="G550" s="368"/>
      <c r="H550" s="368"/>
      <c r="V550" s="368"/>
      <c r="W550" s="368"/>
    </row>
    <row r="551" spans="5:23" ht="42" customHeight="1">
      <c r="E551" s="368"/>
      <c r="F551" s="368"/>
      <c r="G551" s="368"/>
      <c r="H551" s="368"/>
      <c r="V551" s="368"/>
      <c r="W551" s="368"/>
    </row>
    <row r="552" spans="5:23" ht="42" customHeight="1">
      <c r="E552" s="368"/>
      <c r="F552" s="368"/>
      <c r="G552" s="368"/>
      <c r="H552" s="368"/>
      <c r="V552" s="368"/>
      <c r="W552" s="368"/>
    </row>
    <row r="553" spans="5:23" ht="42" customHeight="1">
      <c r="E553" s="368"/>
      <c r="F553" s="368"/>
      <c r="G553" s="368"/>
      <c r="H553" s="368"/>
      <c r="V553" s="368"/>
      <c r="W553" s="368"/>
    </row>
    <row r="554" spans="5:23" ht="42" customHeight="1">
      <c r="E554" s="368"/>
      <c r="F554" s="368"/>
      <c r="G554" s="368"/>
      <c r="H554" s="368"/>
      <c r="V554" s="368"/>
      <c r="W554" s="368"/>
    </row>
    <row r="555" spans="5:23" ht="42" customHeight="1">
      <c r="E555" s="368"/>
      <c r="F555" s="368"/>
      <c r="G555" s="368"/>
      <c r="H555" s="368"/>
      <c r="V555" s="368"/>
      <c r="W555" s="368"/>
    </row>
    <row r="556" spans="5:23" ht="42" customHeight="1">
      <c r="E556" s="368"/>
      <c r="F556" s="368"/>
      <c r="G556" s="368"/>
      <c r="H556" s="368"/>
      <c r="V556" s="368"/>
      <c r="W556" s="368"/>
    </row>
    <row r="557" spans="5:23" ht="42" customHeight="1">
      <c r="E557" s="368"/>
      <c r="F557" s="368"/>
      <c r="G557" s="368"/>
      <c r="H557" s="368"/>
      <c r="V557" s="368"/>
      <c r="W557" s="368"/>
    </row>
    <row r="558" spans="5:23" ht="42" customHeight="1">
      <c r="E558" s="368"/>
      <c r="F558" s="368"/>
      <c r="G558" s="368"/>
      <c r="H558" s="368"/>
      <c r="V558" s="368"/>
      <c r="W558" s="368"/>
    </row>
    <row r="559" spans="5:23" ht="42" customHeight="1">
      <c r="E559" s="368"/>
      <c r="F559" s="368"/>
      <c r="G559" s="368"/>
      <c r="H559" s="368"/>
      <c r="V559" s="368"/>
      <c r="W559" s="368"/>
    </row>
    <row r="560" spans="5:23" ht="42" customHeight="1">
      <c r="E560" s="368"/>
      <c r="F560" s="368"/>
      <c r="G560" s="368"/>
      <c r="H560" s="368"/>
      <c r="V560" s="368"/>
      <c r="W560" s="368"/>
    </row>
    <row r="561" spans="5:23" ht="42" customHeight="1">
      <c r="E561" s="368"/>
      <c r="F561" s="368"/>
      <c r="G561" s="368"/>
      <c r="H561" s="368"/>
      <c r="V561" s="368"/>
      <c r="W561" s="368"/>
    </row>
    <row r="562" spans="5:23" ht="42" customHeight="1">
      <c r="E562" s="368"/>
      <c r="F562" s="368"/>
      <c r="G562" s="368"/>
      <c r="H562" s="368"/>
      <c r="V562" s="368"/>
      <c r="W562" s="368"/>
    </row>
    <row r="563" spans="5:23" ht="42" customHeight="1">
      <c r="E563" s="368"/>
      <c r="F563" s="368"/>
      <c r="G563" s="368"/>
      <c r="H563" s="368"/>
      <c r="V563" s="368"/>
      <c r="W563" s="368"/>
    </row>
    <row r="564" spans="5:23" ht="42" customHeight="1">
      <c r="E564" s="368"/>
      <c r="F564" s="368"/>
      <c r="G564" s="368"/>
      <c r="H564" s="368"/>
      <c r="V564" s="368"/>
      <c r="W564" s="368"/>
    </row>
    <row r="565" spans="5:23" ht="42" customHeight="1">
      <c r="E565" s="368"/>
      <c r="F565" s="368"/>
      <c r="G565" s="368"/>
      <c r="H565" s="368"/>
      <c r="V565" s="368"/>
      <c r="W565" s="368"/>
    </row>
    <row r="566" spans="5:23" ht="42" customHeight="1">
      <c r="E566" s="368"/>
      <c r="F566" s="368"/>
      <c r="G566" s="368"/>
      <c r="H566" s="368"/>
      <c r="V566" s="368"/>
      <c r="W566" s="368"/>
    </row>
    <row r="567" spans="5:23" ht="42" customHeight="1">
      <c r="E567" s="368"/>
      <c r="F567" s="368"/>
      <c r="G567" s="368"/>
      <c r="H567" s="368"/>
      <c r="V567" s="368"/>
      <c r="W567" s="368"/>
    </row>
    <row r="568" spans="5:23" ht="42" customHeight="1">
      <c r="E568" s="368"/>
      <c r="F568" s="368"/>
      <c r="G568" s="368"/>
      <c r="H568" s="368"/>
      <c r="V568" s="368"/>
      <c r="W568" s="368"/>
    </row>
    <row r="569" spans="5:23" ht="42" customHeight="1">
      <c r="E569" s="368"/>
      <c r="F569" s="368"/>
      <c r="G569" s="368"/>
      <c r="H569" s="368"/>
      <c r="V569" s="368"/>
      <c r="W569" s="368"/>
    </row>
    <row r="570" spans="5:23" ht="42" customHeight="1">
      <c r="E570" s="368"/>
      <c r="F570" s="368"/>
      <c r="G570" s="368"/>
      <c r="H570" s="368"/>
      <c r="V570" s="368"/>
      <c r="W570" s="368"/>
    </row>
    <row r="571" spans="5:23" ht="42" customHeight="1">
      <c r="E571" s="368"/>
      <c r="F571" s="368"/>
      <c r="G571" s="368"/>
      <c r="H571" s="368"/>
      <c r="V571" s="368"/>
      <c r="W571" s="368"/>
    </row>
    <row r="572" spans="5:23" ht="42" customHeight="1">
      <c r="E572" s="368"/>
      <c r="F572" s="368"/>
      <c r="G572" s="368"/>
      <c r="H572" s="368"/>
      <c r="V572" s="368"/>
      <c r="W572" s="368"/>
    </row>
    <row r="573" spans="5:23" ht="42" customHeight="1">
      <c r="E573" s="368"/>
      <c r="F573" s="368"/>
      <c r="G573" s="368"/>
      <c r="H573" s="368"/>
      <c r="V573" s="368"/>
      <c r="W573" s="368"/>
    </row>
    <row r="574" spans="5:23" ht="42" customHeight="1">
      <c r="E574" s="368"/>
      <c r="F574" s="368"/>
      <c r="G574" s="368"/>
      <c r="H574" s="368"/>
      <c r="V574" s="368"/>
      <c r="W574" s="368"/>
    </row>
    <row r="575" spans="5:23" ht="42" customHeight="1">
      <c r="E575" s="368"/>
      <c r="F575" s="368"/>
      <c r="G575" s="368"/>
      <c r="H575" s="368"/>
      <c r="V575" s="368"/>
      <c r="W575" s="368"/>
    </row>
    <row r="576" spans="5:23" ht="42" customHeight="1">
      <c r="E576" s="368"/>
      <c r="F576" s="368"/>
      <c r="G576" s="368"/>
      <c r="H576" s="368"/>
      <c r="V576" s="368"/>
      <c r="W576" s="368"/>
    </row>
    <row r="577" spans="5:23" ht="42" customHeight="1">
      <c r="E577" s="368"/>
      <c r="F577" s="368"/>
      <c r="G577" s="368"/>
      <c r="H577" s="368"/>
      <c r="V577" s="368"/>
      <c r="W577" s="368"/>
    </row>
    <row r="578" spans="5:23" ht="42" customHeight="1">
      <c r="E578" s="368"/>
      <c r="F578" s="368"/>
      <c r="G578" s="368"/>
      <c r="H578" s="368"/>
      <c r="V578" s="368"/>
      <c r="W578" s="368"/>
    </row>
    <row r="579" spans="5:23" ht="42" customHeight="1">
      <c r="E579" s="368"/>
      <c r="F579" s="368"/>
      <c r="G579" s="368"/>
      <c r="H579" s="368"/>
      <c r="V579" s="368"/>
      <c r="W579" s="368"/>
    </row>
    <row r="580" spans="5:23" ht="42" customHeight="1">
      <c r="E580" s="368"/>
      <c r="F580" s="368"/>
      <c r="G580" s="368"/>
      <c r="H580" s="368"/>
      <c r="V580" s="368"/>
      <c r="W580" s="368"/>
    </row>
    <row r="581" spans="5:23" ht="42" customHeight="1">
      <c r="E581" s="368"/>
      <c r="F581" s="368"/>
      <c r="G581" s="368"/>
      <c r="H581" s="368"/>
      <c r="V581" s="368"/>
      <c r="W581" s="368"/>
    </row>
    <row r="582" spans="5:23" ht="42" customHeight="1">
      <c r="E582" s="368"/>
      <c r="F582" s="368"/>
      <c r="G582" s="368"/>
      <c r="H582" s="368"/>
      <c r="V582" s="368"/>
      <c r="W582" s="368"/>
    </row>
    <row r="583" spans="5:23" ht="42" customHeight="1">
      <c r="E583" s="368"/>
      <c r="F583" s="368"/>
      <c r="G583" s="368"/>
      <c r="H583" s="368"/>
      <c r="V583" s="368"/>
      <c r="W583" s="368"/>
    </row>
    <row r="584" spans="5:23" ht="42" customHeight="1">
      <c r="E584" s="368"/>
      <c r="F584" s="368"/>
      <c r="G584" s="368"/>
      <c r="H584" s="368"/>
      <c r="V584" s="368"/>
      <c r="W584" s="368"/>
    </row>
    <row r="585" spans="5:23" ht="42" customHeight="1">
      <c r="E585" s="368"/>
      <c r="F585" s="368"/>
      <c r="G585" s="368"/>
      <c r="H585" s="368"/>
      <c r="V585" s="368"/>
      <c r="W585" s="368"/>
    </row>
    <row r="586" spans="5:23" ht="42" customHeight="1">
      <c r="E586" s="368"/>
      <c r="F586" s="368"/>
      <c r="G586" s="368"/>
      <c r="H586" s="368"/>
      <c r="V586" s="368"/>
      <c r="W586" s="368"/>
    </row>
    <row r="587" spans="5:23" ht="42" customHeight="1">
      <c r="E587" s="368"/>
      <c r="F587" s="368"/>
      <c r="G587" s="368"/>
      <c r="H587" s="368"/>
      <c r="V587" s="368"/>
      <c r="W587" s="368"/>
    </row>
    <row r="588" spans="5:23" ht="42" customHeight="1">
      <c r="E588" s="368"/>
      <c r="F588" s="368"/>
      <c r="G588" s="368"/>
      <c r="H588" s="368"/>
      <c r="V588" s="368"/>
      <c r="W588" s="368"/>
    </row>
    <row r="589" spans="5:23" ht="42" customHeight="1">
      <c r="E589" s="368"/>
      <c r="F589" s="368"/>
      <c r="G589" s="368"/>
      <c r="H589" s="368"/>
      <c r="V589" s="368"/>
      <c r="W589" s="368"/>
    </row>
    <row r="590" spans="5:23" ht="42" customHeight="1">
      <c r="E590" s="368"/>
      <c r="F590" s="368"/>
      <c r="G590" s="368"/>
      <c r="H590" s="368"/>
      <c r="V590" s="368"/>
      <c r="W590" s="368"/>
    </row>
    <row r="591" spans="5:23" ht="42" customHeight="1">
      <c r="E591" s="368"/>
      <c r="F591" s="368"/>
      <c r="G591" s="368"/>
      <c r="H591" s="368"/>
      <c r="V591" s="368"/>
      <c r="W591" s="368"/>
    </row>
    <row r="592" spans="5:23" ht="42" customHeight="1">
      <c r="E592" s="368"/>
      <c r="F592" s="368"/>
      <c r="G592" s="368"/>
      <c r="H592" s="368"/>
      <c r="V592" s="368"/>
      <c r="W592" s="368"/>
    </row>
    <row r="593" spans="5:23" ht="42" customHeight="1">
      <c r="E593" s="368"/>
      <c r="F593" s="368"/>
      <c r="G593" s="368"/>
      <c r="H593" s="368"/>
      <c r="V593" s="368"/>
      <c r="W593" s="368"/>
    </row>
    <row r="594" spans="5:23" ht="42" customHeight="1">
      <c r="E594" s="368"/>
      <c r="F594" s="368"/>
      <c r="G594" s="368"/>
      <c r="H594" s="368"/>
      <c r="V594" s="368"/>
      <c r="W594" s="368"/>
    </row>
    <row r="595" spans="5:23" ht="42" customHeight="1">
      <c r="E595" s="368"/>
      <c r="F595" s="368"/>
      <c r="G595" s="368"/>
      <c r="H595" s="368"/>
      <c r="V595" s="368"/>
      <c r="W595" s="368"/>
    </row>
    <row r="596" spans="5:23" ht="42" customHeight="1">
      <c r="E596" s="368"/>
      <c r="F596" s="368"/>
      <c r="G596" s="368"/>
      <c r="H596" s="368"/>
      <c r="V596" s="368"/>
      <c r="W596" s="368"/>
    </row>
    <row r="597" spans="5:23" ht="42" customHeight="1">
      <c r="E597" s="368"/>
      <c r="F597" s="368"/>
      <c r="G597" s="368"/>
      <c r="H597" s="368"/>
      <c r="V597" s="368"/>
      <c r="W597" s="368"/>
    </row>
    <row r="598" spans="5:23" ht="42" customHeight="1">
      <c r="E598" s="368"/>
      <c r="F598" s="368"/>
      <c r="G598" s="368"/>
      <c r="H598" s="368"/>
      <c r="V598" s="368"/>
      <c r="W598" s="368"/>
    </row>
    <row r="599" spans="5:23" ht="42" customHeight="1">
      <c r="E599" s="368"/>
      <c r="F599" s="368"/>
      <c r="G599" s="368"/>
      <c r="H599" s="368"/>
      <c r="V599" s="368"/>
      <c r="W599" s="368"/>
    </row>
    <row r="600" spans="5:23" ht="42" customHeight="1">
      <c r="E600" s="368"/>
      <c r="F600" s="368"/>
      <c r="G600" s="368"/>
      <c r="H600" s="368"/>
      <c r="V600" s="368"/>
      <c r="W600" s="368"/>
    </row>
    <row r="601" spans="5:23" ht="42" customHeight="1">
      <c r="E601" s="368"/>
      <c r="F601" s="368"/>
      <c r="G601" s="368"/>
      <c r="H601" s="368"/>
      <c r="V601" s="368"/>
      <c r="W601" s="368"/>
    </row>
    <row r="602" spans="5:23" ht="42" customHeight="1">
      <c r="E602" s="368"/>
      <c r="F602" s="368"/>
      <c r="G602" s="368"/>
      <c r="H602" s="368"/>
      <c r="V602" s="368"/>
      <c r="W602" s="368"/>
    </row>
    <row r="603" spans="5:23" ht="42" customHeight="1">
      <c r="E603" s="368"/>
      <c r="F603" s="368"/>
      <c r="G603" s="368"/>
      <c r="H603" s="368"/>
      <c r="V603" s="368"/>
      <c r="W603" s="368"/>
    </row>
    <row r="604" spans="5:23" ht="42" customHeight="1">
      <c r="E604" s="368"/>
      <c r="F604" s="368"/>
      <c r="G604" s="368"/>
      <c r="H604" s="368"/>
      <c r="V604" s="368"/>
      <c r="W604" s="368"/>
    </row>
    <row r="605" spans="5:23" ht="42" customHeight="1">
      <c r="E605" s="368"/>
      <c r="F605" s="368"/>
      <c r="G605" s="368"/>
      <c r="H605" s="368"/>
      <c r="V605" s="368"/>
      <c r="W605" s="368"/>
    </row>
    <row r="606" spans="5:23" ht="42" customHeight="1">
      <c r="E606" s="368"/>
      <c r="F606" s="368"/>
      <c r="G606" s="368"/>
      <c r="H606" s="368"/>
      <c r="V606" s="368"/>
      <c r="W606" s="368"/>
    </row>
    <row r="607" spans="5:23" ht="42" customHeight="1">
      <c r="E607" s="368"/>
      <c r="F607" s="368"/>
      <c r="G607" s="368"/>
      <c r="H607" s="368"/>
      <c r="V607" s="368"/>
      <c r="W607" s="368"/>
    </row>
    <row r="608" spans="5:23" ht="42" customHeight="1">
      <c r="E608" s="368"/>
      <c r="F608" s="368"/>
      <c r="G608" s="368"/>
      <c r="H608" s="368"/>
      <c r="V608" s="368"/>
      <c r="W608" s="368"/>
    </row>
    <row r="609" spans="5:23" ht="42" customHeight="1">
      <c r="E609" s="368"/>
      <c r="F609" s="368"/>
      <c r="G609" s="368"/>
      <c r="H609" s="368"/>
      <c r="V609" s="368"/>
      <c r="W609" s="368"/>
    </row>
    <row r="610" spans="5:23" ht="42" customHeight="1">
      <c r="E610" s="368"/>
      <c r="F610" s="368"/>
      <c r="G610" s="368"/>
      <c r="H610" s="368"/>
      <c r="V610" s="368"/>
      <c r="W610" s="368"/>
    </row>
    <row r="611" spans="5:23" ht="42" customHeight="1">
      <c r="E611" s="368"/>
      <c r="F611" s="368"/>
      <c r="G611" s="368"/>
      <c r="H611" s="368"/>
      <c r="V611" s="368"/>
      <c r="W611" s="368"/>
    </row>
    <row r="612" spans="5:23" ht="42" customHeight="1">
      <c r="E612" s="368"/>
      <c r="F612" s="368"/>
      <c r="G612" s="368"/>
      <c r="H612" s="368"/>
      <c r="V612" s="368"/>
      <c r="W612" s="368"/>
    </row>
    <row r="613" spans="5:23" ht="42" customHeight="1">
      <c r="E613" s="368"/>
      <c r="F613" s="368"/>
      <c r="G613" s="368"/>
      <c r="H613" s="368"/>
      <c r="V613" s="368"/>
      <c r="W613" s="368"/>
    </row>
    <row r="614" spans="5:23" ht="42" customHeight="1">
      <c r="E614" s="368"/>
      <c r="F614" s="368"/>
      <c r="G614" s="368"/>
      <c r="H614" s="368"/>
      <c r="V614" s="368"/>
      <c r="W614" s="368"/>
    </row>
    <row r="615" spans="5:23" ht="42" customHeight="1">
      <c r="E615" s="368"/>
      <c r="F615" s="368"/>
      <c r="G615" s="368"/>
      <c r="H615" s="368"/>
      <c r="V615" s="368"/>
      <c r="W615" s="368"/>
    </row>
    <row r="616" spans="5:23" ht="42" customHeight="1">
      <c r="E616" s="368"/>
      <c r="F616" s="368"/>
      <c r="G616" s="368"/>
      <c r="H616" s="368"/>
      <c r="V616" s="368"/>
      <c r="W616" s="368"/>
    </row>
    <row r="617" spans="5:23" ht="42" customHeight="1">
      <c r="E617" s="368"/>
      <c r="F617" s="368"/>
      <c r="G617" s="368"/>
      <c r="H617" s="368"/>
      <c r="V617" s="368"/>
      <c r="W617" s="368"/>
    </row>
    <row r="618" spans="5:23" ht="42" customHeight="1">
      <c r="E618" s="368"/>
      <c r="F618" s="368"/>
      <c r="G618" s="368"/>
      <c r="H618" s="368"/>
      <c r="V618" s="368"/>
      <c r="W618" s="368"/>
    </row>
    <row r="619" spans="5:23" ht="42" customHeight="1">
      <c r="E619" s="368"/>
      <c r="F619" s="368"/>
      <c r="G619" s="368"/>
      <c r="H619" s="368"/>
      <c r="V619" s="368"/>
      <c r="W619" s="368"/>
    </row>
    <row r="620" spans="5:23" ht="42" customHeight="1">
      <c r="E620" s="368"/>
      <c r="F620" s="368"/>
      <c r="G620" s="368"/>
      <c r="H620" s="368"/>
      <c r="V620" s="368"/>
      <c r="W620" s="368"/>
    </row>
    <row r="621" spans="5:23" ht="42" customHeight="1">
      <c r="E621" s="368"/>
      <c r="F621" s="368"/>
      <c r="G621" s="368"/>
      <c r="H621" s="368"/>
      <c r="V621" s="368"/>
      <c r="W621" s="368"/>
    </row>
    <row r="622" spans="5:23" ht="42" customHeight="1">
      <c r="E622" s="368"/>
      <c r="F622" s="368"/>
      <c r="G622" s="368"/>
      <c r="H622" s="368"/>
      <c r="V622" s="368"/>
      <c r="W622" s="368"/>
    </row>
    <row r="623" spans="5:23" ht="42" customHeight="1">
      <c r="E623" s="368"/>
      <c r="F623" s="368"/>
      <c r="G623" s="368"/>
      <c r="H623" s="368"/>
      <c r="V623" s="368"/>
      <c r="W623" s="368"/>
    </row>
    <row r="624" spans="5:23" ht="42" customHeight="1">
      <c r="E624" s="368"/>
      <c r="F624" s="368"/>
      <c r="G624" s="368"/>
      <c r="H624" s="368"/>
      <c r="V624" s="368"/>
      <c r="W624" s="368"/>
    </row>
    <row r="625" spans="5:23" ht="42" customHeight="1">
      <c r="E625" s="368"/>
      <c r="F625" s="368"/>
      <c r="G625" s="368"/>
      <c r="H625" s="368"/>
      <c r="V625" s="368"/>
      <c r="W625" s="368"/>
    </row>
    <row r="626" spans="5:23" ht="42" customHeight="1">
      <c r="E626" s="368"/>
      <c r="F626" s="368"/>
      <c r="G626" s="368"/>
      <c r="H626" s="368"/>
      <c r="V626" s="368"/>
      <c r="W626" s="368"/>
    </row>
    <row r="627" spans="5:23" ht="42" customHeight="1">
      <c r="E627" s="368"/>
      <c r="F627" s="368"/>
      <c r="G627" s="368"/>
      <c r="H627" s="368"/>
      <c r="V627" s="368"/>
      <c r="W627" s="368"/>
    </row>
    <row r="628" spans="5:23" ht="42" customHeight="1">
      <c r="E628" s="368"/>
      <c r="F628" s="368"/>
      <c r="G628" s="368"/>
      <c r="H628" s="368"/>
      <c r="V628" s="368"/>
      <c r="W628" s="368"/>
    </row>
    <row r="629" spans="5:23" ht="42" customHeight="1">
      <c r="E629" s="368"/>
      <c r="F629" s="368"/>
      <c r="G629" s="368"/>
      <c r="H629" s="368"/>
      <c r="V629" s="368"/>
      <c r="W629" s="368"/>
    </row>
    <row r="630" spans="5:23" ht="42" customHeight="1">
      <c r="E630" s="368"/>
      <c r="F630" s="368"/>
      <c r="G630" s="368"/>
      <c r="H630" s="368"/>
      <c r="V630" s="368"/>
      <c r="W630" s="368"/>
    </row>
    <row r="631" spans="5:23" ht="42" customHeight="1">
      <c r="E631" s="368"/>
      <c r="F631" s="368"/>
      <c r="G631" s="368"/>
      <c r="H631" s="368"/>
      <c r="V631" s="368"/>
      <c r="W631" s="368"/>
    </row>
    <row r="632" spans="5:23" ht="42" customHeight="1">
      <c r="E632" s="368"/>
      <c r="F632" s="368"/>
      <c r="G632" s="368"/>
      <c r="H632" s="368"/>
      <c r="V632" s="368"/>
      <c r="W632" s="368"/>
    </row>
    <row r="633" spans="5:23" ht="42" customHeight="1">
      <c r="E633" s="368"/>
      <c r="F633" s="368"/>
      <c r="G633" s="368"/>
      <c r="H633" s="368"/>
      <c r="V633" s="368"/>
      <c r="W633" s="368"/>
    </row>
    <row r="634" spans="5:23" ht="42" customHeight="1">
      <c r="E634" s="368"/>
      <c r="F634" s="368"/>
      <c r="G634" s="368"/>
      <c r="H634" s="368"/>
      <c r="V634" s="368"/>
      <c r="W634" s="368"/>
    </row>
    <row r="635" spans="5:23" ht="42" customHeight="1">
      <c r="E635" s="368"/>
      <c r="F635" s="368"/>
      <c r="G635" s="368"/>
      <c r="H635" s="368"/>
      <c r="V635" s="368"/>
      <c r="W635" s="368"/>
    </row>
    <row r="636" spans="5:23" ht="42" customHeight="1">
      <c r="E636" s="368"/>
      <c r="F636" s="368"/>
      <c r="G636" s="368"/>
      <c r="H636" s="368"/>
      <c r="V636" s="368"/>
      <c r="W636" s="368"/>
    </row>
    <row r="637" spans="5:23" ht="42" customHeight="1">
      <c r="E637" s="368"/>
      <c r="F637" s="368"/>
      <c r="G637" s="368"/>
      <c r="H637" s="368"/>
      <c r="V637" s="368"/>
      <c r="W637" s="368"/>
    </row>
    <row r="638" spans="5:23" ht="42" customHeight="1">
      <c r="E638" s="368"/>
      <c r="F638" s="368"/>
      <c r="G638" s="368"/>
      <c r="H638" s="368"/>
      <c r="V638" s="368"/>
      <c r="W638" s="368"/>
    </row>
    <row r="639" spans="5:23" ht="42" customHeight="1">
      <c r="E639" s="368"/>
      <c r="F639" s="368"/>
      <c r="G639" s="368"/>
      <c r="H639" s="368"/>
      <c r="V639" s="368"/>
      <c r="W639" s="368"/>
    </row>
    <row r="640" spans="5:23" ht="42" customHeight="1">
      <c r="E640" s="368"/>
      <c r="F640" s="368"/>
      <c r="G640" s="368"/>
      <c r="H640" s="368"/>
      <c r="V640" s="368"/>
      <c r="W640" s="368"/>
    </row>
    <row r="641" spans="5:23" ht="42" customHeight="1">
      <c r="E641" s="368"/>
      <c r="F641" s="368"/>
      <c r="G641" s="368"/>
      <c r="H641" s="368"/>
      <c r="V641" s="368"/>
      <c r="W641" s="368"/>
    </row>
    <row r="642" spans="5:23" ht="42" customHeight="1">
      <c r="E642" s="368"/>
      <c r="F642" s="368"/>
      <c r="G642" s="368"/>
      <c r="H642" s="368"/>
      <c r="V642" s="368"/>
      <c r="W642" s="368"/>
    </row>
    <row r="643" spans="5:23" ht="42" customHeight="1">
      <c r="E643" s="368"/>
      <c r="F643" s="368"/>
      <c r="G643" s="368"/>
      <c r="H643" s="368"/>
      <c r="V643" s="368"/>
      <c r="W643" s="368"/>
    </row>
    <row r="644" spans="5:23" ht="42" customHeight="1">
      <c r="E644" s="368"/>
      <c r="F644" s="368"/>
      <c r="G644" s="368"/>
      <c r="H644" s="368"/>
      <c r="V644" s="368"/>
      <c r="W644" s="368"/>
    </row>
    <row r="645" spans="5:23" ht="42" customHeight="1">
      <c r="E645" s="368"/>
      <c r="F645" s="368"/>
      <c r="G645" s="368"/>
      <c r="H645" s="368"/>
      <c r="V645" s="368"/>
      <c r="W645" s="368"/>
    </row>
    <row r="646" spans="5:23" ht="42" customHeight="1">
      <c r="E646" s="368"/>
      <c r="F646" s="368"/>
      <c r="G646" s="368"/>
      <c r="H646" s="368"/>
      <c r="V646" s="368"/>
      <c r="W646" s="368"/>
    </row>
    <row r="647" spans="5:23" ht="42" customHeight="1">
      <c r="E647" s="368"/>
      <c r="F647" s="368"/>
      <c r="G647" s="368"/>
      <c r="H647" s="368"/>
      <c r="V647" s="368"/>
      <c r="W647" s="368"/>
    </row>
    <row r="648" spans="5:23" ht="42" customHeight="1">
      <c r="E648" s="368"/>
      <c r="F648" s="368"/>
      <c r="G648" s="368"/>
      <c r="H648" s="368"/>
      <c r="V648" s="368"/>
      <c r="W648" s="368"/>
    </row>
    <row r="649" spans="5:23" ht="42" customHeight="1">
      <c r="E649" s="368"/>
      <c r="F649" s="368"/>
      <c r="G649" s="368"/>
      <c r="H649" s="368"/>
      <c r="V649" s="368"/>
      <c r="W649" s="368"/>
    </row>
    <row r="650" spans="5:23" ht="42" customHeight="1">
      <c r="E650" s="368"/>
      <c r="F650" s="368"/>
      <c r="G650" s="368"/>
      <c r="H650" s="368"/>
      <c r="V650" s="368"/>
      <c r="W650" s="368"/>
    </row>
    <row r="651" spans="5:23" ht="42" customHeight="1">
      <c r="E651" s="368"/>
      <c r="F651" s="368"/>
      <c r="G651" s="368"/>
      <c r="H651" s="368"/>
      <c r="V651" s="368"/>
      <c r="W651" s="368"/>
    </row>
    <row r="652" spans="5:23" ht="42" customHeight="1">
      <c r="E652" s="368"/>
      <c r="F652" s="368"/>
      <c r="G652" s="368"/>
      <c r="H652" s="368"/>
      <c r="V652" s="368"/>
      <c r="W652" s="368"/>
    </row>
    <row r="653" spans="5:23" ht="42" customHeight="1">
      <c r="E653" s="368"/>
      <c r="F653" s="368"/>
      <c r="G653" s="368"/>
      <c r="H653" s="368"/>
      <c r="V653" s="368"/>
      <c r="W653" s="368"/>
    </row>
    <row r="654" spans="5:23" ht="42" customHeight="1">
      <c r="E654" s="368"/>
      <c r="F654" s="368"/>
      <c r="G654" s="368"/>
      <c r="H654" s="368"/>
      <c r="V654" s="368"/>
      <c r="W654" s="368"/>
    </row>
    <row r="655" spans="5:23" ht="42" customHeight="1">
      <c r="E655" s="368"/>
      <c r="F655" s="368"/>
      <c r="G655" s="368"/>
      <c r="H655" s="368"/>
      <c r="V655" s="368"/>
      <c r="W655" s="368"/>
    </row>
    <row r="656" spans="5:23" ht="42" customHeight="1">
      <c r="E656" s="368"/>
      <c r="F656" s="368"/>
      <c r="G656" s="368"/>
      <c r="H656" s="368"/>
      <c r="V656" s="368"/>
      <c r="W656" s="368"/>
    </row>
    <row r="657" spans="5:23" ht="42" customHeight="1">
      <c r="E657" s="368"/>
      <c r="F657" s="368"/>
      <c r="G657" s="368"/>
      <c r="H657" s="368"/>
      <c r="V657" s="368"/>
      <c r="W657" s="368"/>
    </row>
    <row r="658" spans="5:23" ht="42" customHeight="1">
      <c r="E658" s="368"/>
      <c r="F658" s="368"/>
      <c r="G658" s="368"/>
      <c r="H658" s="368"/>
      <c r="V658" s="368"/>
      <c r="W658" s="368"/>
    </row>
    <row r="659" spans="5:23" ht="42" customHeight="1">
      <c r="E659" s="368"/>
      <c r="F659" s="368"/>
      <c r="G659" s="368"/>
      <c r="H659" s="368"/>
      <c r="V659" s="368"/>
      <c r="W659" s="368"/>
    </row>
    <row r="660" spans="5:23" ht="42" customHeight="1">
      <c r="E660" s="368"/>
      <c r="F660" s="368"/>
      <c r="G660" s="368"/>
      <c r="H660" s="368"/>
      <c r="V660" s="368"/>
      <c r="W660" s="368"/>
    </row>
    <row r="661" spans="5:23" ht="42" customHeight="1">
      <c r="E661" s="368"/>
      <c r="F661" s="368"/>
      <c r="G661" s="368"/>
      <c r="H661" s="368"/>
      <c r="V661" s="368"/>
      <c r="W661" s="368"/>
    </row>
    <row r="662" spans="5:23" ht="42" customHeight="1">
      <c r="E662" s="368"/>
      <c r="F662" s="368"/>
      <c r="G662" s="368"/>
      <c r="H662" s="368"/>
      <c r="V662" s="368"/>
      <c r="W662" s="368"/>
    </row>
    <row r="663" spans="5:23" ht="42" customHeight="1">
      <c r="E663" s="368"/>
      <c r="F663" s="368"/>
      <c r="G663" s="368"/>
      <c r="H663" s="368"/>
      <c r="V663" s="368"/>
      <c r="W663" s="368"/>
    </row>
    <row r="664" spans="5:23" ht="42" customHeight="1">
      <c r="E664" s="368"/>
      <c r="F664" s="368"/>
      <c r="G664" s="368"/>
      <c r="H664" s="368"/>
      <c r="V664" s="368"/>
      <c r="W664" s="368"/>
    </row>
    <row r="665" spans="5:23" ht="42" customHeight="1">
      <c r="E665" s="368"/>
      <c r="F665" s="368"/>
      <c r="G665" s="368"/>
      <c r="H665" s="368"/>
      <c r="V665" s="368"/>
      <c r="W665" s="368"/>
    </row>
    <row r="666" spans="5:23" ht="42" customHeight="1">
      <c r="E666" s="368"/>
      <c r="F666" s="368"/>
      <c r="G666" s="368"/>
      <c r="H666" s="368"/>
      <c r="V666" s="368"/>
      <c r="W666" s="368"/>
    </row>
    <row r="667" spans="5:23" ht="42" customHeight="1">
      <c r="E667" s="368"/>
      <c r="F667" s="368"/>
      <c r="G667" s="368"/>
      <c r="H667" s="368"/>
      <c r="V667" s="368"/>
      <c r="W667" s="368"/>
    </row>
    <row r="668" spans="5:23" ht="42" customHeight="1">
      <c r="E668" s="368"/>
      <c r="F668" s="368"/>
      <c r="G668" s="368"/>
      <c r="H668" s="368"/>
      <c r="V668" s="368"/>
      <c r="W668" s="368"/>
    </row>
    <row r="669" spans="5:23" ht="42" customHeight="1">
      <c r="E669" s="368"/>
      <c r="F669" s="368"/>
      <c r="G669" s="368"/>
      <c r="H669" s="368"/>
      <c r="V669" s="368"/>
      <c r="W669" s="368"/>
    </row>
    <row r="670" spans="5:23" ht="42" customHeight="1">
      <c r="E670" s="368"/>
      <c r="F670" s="368"/>
      <c r="G670" s="368"/>
      <c r="H670" s="368"/>
      <c r="V670" s="368"/>
      <c r="W670" s="368"/>
    </row>
    <row r="671" spans="5:23" ht="42" customHeight="1">
      <c r="E671" s="368"/>
      <c r="F671" s="368"/>
      <c r="G671" s="368"/>
      <c r="H671" s="368"/>
      <c r="V671" s="368"/>
      <c r="W671" s="368"/>
    </row>
    <row r="672" spans="5:23" ht="42" customHeight="1">
      <c r="E672" s="368"/>
      <c r="F672" s="368"/>
      <c r="G672" s="368"/>
      <c r="H672" s="368"/>
      <c r="V672" s="368"/>
      <c r="W672" s="368"/>
    </row>
    <row r="673" spans="5:23" ht="42" customHeight="1">
      <c r="E673" s="368"/>
      <c r="F673" s="368"/>
      <c r="G673" s="368"/>
      <c r="H673" s="368"/>
      <c r="V673" s="368"/>
      <c r="W673" s="368"/>
    </row>
    <row r="674" spans="5:23" ht="42" customHeight="1">
      <c r="E674" s="368"/>
      <c r="F674" s="368"/>
      <c r="G674" s="368"/>
      <c r="H674" s="368"/>
      <c r="V674" s="368"/>
      <c r="W674" s="368"/>
    </row>
    <row r="675" spans="5:23" ht="42" customHeight="1">
      <c r="E675" s="368"/>
      <c r="F675" s="368"/>
      <c r="G675" s="368"/>
      <c r="H675" s="368"/>
      <c r="V675" s="368"/>
      <c r="W675" s="368"/>
    </row>
    <row r="676" spans="5:23" ht="42" customHeight="1">
      <c r="E676" s="368"/>
      <c r="F676" s="368"/>
      <c r="G676" s="368"/>
      <c r="H676" s="368"/>
      <c r="V676" s="368"/>
      <c r="W676" s="368"/>
    </row>
    <row r="677" spans="5:23" ht="42" customHeight="1">
      <c r="E677" s="368"/>
      <c r="F677" s="368"/>
      <c r="G677" s="368"/>
      <c r="H677" s="368"/>
      <c r="V677" s="368"/>
      <c r="W677" s="368"/>
    </row>
    <row r="678" spans="5:23" ht="42" customHeight="1">
      <c r="E678" s="368"/>
      <c r="F678" s="368"/>
      <c r="G678" s="368"/>
      <c r="H678" s="368"/>
      <c r="V678" s="368"/>
      <c r="W678" s="368"/>
    </row>
    <row r="679" spans="5:23" ht="42" customHeight="1">
      <c r="E679" s="368"/>
      <c r="F679" s="368"/>
      <c r="G679" s="368"/>
      <c r="H679" s="368"/>
      <c r="V679" s="368"/>
      <c r="W679" s="368"/>
    </row>
    <row r="680" spans="5:23" ht="42" customHeight="1">
      <c r="E680" s="368"/>
      <c r="F680" s="368"/>
      <c r="G680" s="368"/>
      <c r="H680" s="368"/>
      <c r="V680" s="368"/>
      <c r="W680" s="368"/>
    </row>
    <row r="681" spans="5:23" ht="42" customHeight="1">
      <c r="E681" s="368"/>
      <c r="F681" s="368"/>
      <c r="G681" s="368"/>
      <c r="H681" s="368"/>
      <c r="V681" s="368"/>
      <c r="W681" s="368"/>
    </row>
    <row r="682" spans="5:23" ht="42" customHeight="1">
      <c r="E682" s="368"/>
      <c r="F682" s="368"/>
      <c r="G682" s="368"/>
      <c r="H682" s="368"/>
      <c r="V682" s="368"/>
      <c r="W682" s="368"/>
    </row>
    <row r="683" spans="5:23" ht="42" customHeight="1">
      <c r="E683" s="368"/>
      <c r="F683" s="368"/>
      <c r="G683" s="368"/>
      <c r="H683" s="368"/>
      <c r="V683" s="368"/>
      <c r="W683" s="368"/>
    </row>
    <row r="684" spans="5:23" ht="42" customHeight="1">
      <c r="E684" s="368"/>
      <c r="F684" s="368"/>
      <c r="G684" s="368"/>
      <c r="H684" s="368"/>
      <c r="V684" s="368"/>
      <c r="W684" s="368"/>
    </row>
    <row r="685" spans="5:23" ht="42" customHeight="1">
      <c r="E685" s="368"/>
      <c r="F685" s="368"/>
      <c r="G685" s="368"/>
      <c r="H685" s="368"/>
      <c r="V685" s="368"/>
      <c r="W685" s="368"/>
    </row>
    <row r="686" spans="5:23" ht="42" customHeight="1">
      <c r="E686" s="368"/>
      <c r="F686" s="368"/>
      <c r="G686" s="368"/>
      <c r="H686" s="368"/>
      <c r="V686" s="368"/>
      <c r="W686" s="368"/>
    </row>
    <row r="687" spans="5:23" ht="42" customHeight="1">
      <c r="E687" s="368"/>
      <c r="F687" s="368"/>
      <c r="G687" s="368"/>
      <c r="H687" s="368"/>
      <c r="V687" s="368"/>
      <c r="W687" s="368"/>
    </row>
    <row r="688" spans="5:23" ht="42" customHeight="1">
      <c r="E688" s="368"/>
      <c r="F688" s="368"/>
      <c r="G688" s="368"/>
      <c r="H688" s="368"/>
      <c r="V688" s="368"/>
      <c r="W688" s="368"/>
    </row>
    <row r="689" spans="5:23" ht="42" customHeight="1">
      <c r="E689" s="368"/>
      <c r="F689" s="368"/>
      <c r="G689" s="368"/>
      <c r="H689" s="368"/>
      <c r="V689" s="368"/>
      <c r="W689" s="368"/>
    </row>
    <row r="690" spans="5:23" ht="42" customHeight="1">
      <c r="E690" s="368"/>
      <c r="F690" s="368"/>
      <c r="G690" s="368"/>
      <c r="H690" s="368"/>
      <c r="V690" s="368"/>
      <c r="W690" s="368"/>
    </row>
    <row r="691" spans="5:23" ht="42" customHeight="1">
      <c r="E691" s="368"/>
      <c r="F691" s="368"/>
      <c r="G691" s="368"/>
      <c r="H691" s="368"/>
      <c r="V691" s="368"/>
      <c r="W691" s="368"/>
    </row>
    <row r="692" spans="5:23" ht="42" customHeight="1">
      <c r="E692" s="368"/>
      <c r="F692" s="368"/>
      <c r="G692" s="368"/>
      <c r="H692" s="368"/>
      <c r="V692" s="368"/>
      <c r="W692" s="368"/>
    </row>
    <row r="693" spans="5:23" ht="42" customHeight="1">
      <c r="E693" s="368"/>
      <c r="F693" s="368"/>
      <c r="G693" s="368"/>
      <c r="H693" s="368"/>
      <c r="V693" s="368"/>
      <c r="W693" s="368"/>
    </row>
    <row r="694" spans="5:23" ht="42" customHeight="1">
      <c r="E694" s="368"/>
      <c r="F694" s="368"/>
      <c r="G694" s="368"/>
      <c r="H694" s="368"/>
      <c r="V694" s="368"/>
      <c r="W694" s="368"/>
    </row>
    <row r="695" spans="5:23" ht="42" customHeight="1">
      <c r="E695" s="368"/>
      <c r="F695" s="368"/>
      <c r="G695" s="368"/>
      <c r="H695" s="368"/>
      <c r="V695" s="368"/>
      <c r="W695" s="368"/>
    </row>
    <row r="696" spans="5:23" ht="42" customHeight="1">
      <c r="E696" s="368"/>
      <c r="F696" s="368"/>
      <c r="G696" s="368"/>
      <c r="H696" s="368"/>
      <c r="V696" s="368"/>
      <c r="W696" s="368"/>
    </row>
    <row r="697" spans="5:23" ht="42" customHeight="1">
      <c r="E697" s="368"/>
      <c r="F697" s="368"/>
      <c r="G697" s="368"/>
      <c r="H697" s="368"/>
      <c r="V697" s="368"/>
      <c r="W697" s="368"/>
    </row>
    <row r="698" spans="5:23" ht="42" customHeight="1">
      <c r="E698" s="368"/>
      <c r="F698" s="368"/>
      <c r="G698" s="368"/>
      <c r="H698" s="368"/>
      <c r="V698" s="368"/>
      <c r="W698" s="368"/>
    </row>
    <row r="699" spans="5:23" ht="42" customHeight="1">
      <c r="E699" s="368"/>
      <c r="F699" s="368"/>
      <c r="G699" s="368"/>
      <c r="H699" s="368"/>
      <c r="V699" s="368"/>
      <c r="W699" s="368"/>
    </row>
    <row r="700" spans="5:23" ht="42" customHeight="1">
      <c r="E700" s="368"/>
      <c r="F700" s="368"/>
      <c r="G700" s="368"/>
      <c r="H700" s="368"/>
      <c r="V700" s="368"/>
      <c r="W700" s="368"/>
    </row>
    <row r="701" spans="5:23" ht="42" customHeight="1">
      <c r="E701" s="368"/>
      <c r="F701" s="368"/>
      <c r="G701" s="368"/>
      <c r="H701" s="368"/>
      <c r="V701" s="368"/>
      <c r="W701" s="368"/>
    </row>
    <row r="702" spans="5:23" ht="42" customHeight="1">
      <c r="E702" s="368"/>
      <c r="F702" s="368"/>
      <c r="G702" s="368"/>
      <c r="H702" s="368"/>
      <c r="V702" s="368"/>
      <c r="W702" s="368"/>
    </row>
    <row r="703" spans="5:23" ht="42" customHeight="1">
      <c r="E703" s="368"/>
      <c r="F703" s="368"/>
      <c r="G703" s="368"/>
      <c r="H703" s="368"/>
      <c r="V703" s="368"/>
      <c r="W703" s="368"/>
    </row>
    <row r="704" spans="5:23" ht="42" customHeight="1">
      <c r="E704" s="368"/>
      <c r="F704" s="368"/>
      <c r="G704" s="368"/>
      <c r="H704" s="368"/>
      <c r="V704" s="368"/>
      <c r="W704" s="368"/>
    </row>
    <row r="705" spans="5:23" ht="42" customHeight="1">
      <c r="E705" s="368"/>
      <c r="F705" s="368"/>
      <c r="G705" s="368"/>
      <c r="H705" s="368"/>
      <c r="V705" s="368"/>
      <c r="W705" s="368"/>
    </row>
    <row r="706" spans="5:23" ht="42" customHeight="1">
      <c r="E706" s="368"/>
      <c r="F706" s="368"/>
      <c r="G706" s="368"/>
      <c r="H706" s="368"/>
      <c r="V706" s="368"/>
      <c r="W706" s="368"/>
    </row>
    <row r="707" spans="5:23" ht="42" customHeight="1">
      <c r="E707" s="368"/>
      <c r="F707" s="368"/>
      <c r="G707" s="368"/>
      <c r="H707" s="368"/>
      <c r="V707" s="368"/>
      <c r="W707" s="368"/>
    </row>
    <row r="708" spans="5:23" ht="42" customHeight="1">
      <c r="E708" s="368"/>
      <c r="F708" s="368"/>
      <c r="G708" s="368"/>
      <c r="H708" s="368"/>
      <c r="V708" s="368"/>
      <c r="W708" s="368"/>
    </row>
    <row r="709" spans="5:23" ht="42" customHeight="1">
      <c r="E709" s="368"/>
      <c r="F709" s="368"/>
      <c r="G709" s="368"/>
      <c r="H709" s="368"/>
      <c r="V709" s="368"/>
      <c r="W709" s="368"/>
    </row>
    <row r="710" spans="5:23" ht="42" customHeight="1">
      <c r="E710" s="368"/>
      <c r="F710" s="368"/>
      <c r="G710" s="368"/>
      <c r="H710" s="368"/>
      <c r="V710" s="368"/>
      <c r="W710" s="368"/>
    </row>
    <row r="711" spans="5:23" ht="42" customHeight="1">
      <c r="E711" s="368"/>
      <c r="F711" s="368"/>
      <c r="G711" s="368"/>
      <c r="H711" s="368"/>
      <c r="V711" s="368"/>
      <c r="W711" s="368"/>
    </row>
    <row r="712" spans="5:23" ht="42" customHeight="1">
      <c r="E712" s="368"/>
      <c r="F712" s="368"/>
      <c r="G712" s="368"/>
      <c r="H712" s="368"/>
      <c r="V712" s="368"/>
      <c r="W712" s="368"/>
    </row>
    <row r="713" spans="5:23" ht="42" customHeight="1">
      <c r="E713" s="368"/>
      <c r="F713" s="368"/>
      <c r="G713" s="368"/>
      <c r="H713" s="368"/>
      <c r="V713" s="368"/>
      <c r="W713" s="368"/>
    </row>
    <row r="714" spans="5:23" ht="42" customHeight="1">
      <c r="E714" s="368"/>
      <c r="F714" s="368"/>
      <c r="G714" s="368"/>
      <c r="H714" s="368"/>
      <c r="V714" s="368"/>
      <c r="W714" s="368"/>
    </row>
    <row r="715" spans="5:23" ht="42" customHeight="1">
      <c r="E715" s="368"/>
      <c r="F715" s="368"/>
      <c r="G715" s="368"/>
      <c r="H715" s="368"/>
      <c r="V715" s="368"/>
      <c r="W715" s="368"/>
    </row>
    <row r="716" spans="5:23" ht="42" customHeight="1">
      <c r="E716" s="368"/>
      <c r="F716" s="368"/>
      <c r="G716" s="368"/>
      <c r="H716" s="368"/>
      <c r="V716" s="368"/>
      <c r="W716" s="368"/>
    </row>
    <row r="717" spans="5:23" ht="42" customHeight="1">
      <c r="E717" s="368"/>
      <c r="F717" s="368"/>
      <c r="G717" s="368"/>
      <c r="H717" s="368"/>
      <c r="V717" s="368"/>
      <c r="W717" s="368"/>
    </row>
    <row r="718" spans="5:23" ht="42" customHeight="1">
      <c r="E718" s="368"/>
      <c r="F718" s="368"/>
      <c r="G718" s="368"/>
      <c r="H718" s="368"/>
      <c r="V718" s="368"/>
      <c r="W718" s="368"/>
    </row>
    <row r="719" spans="5:23" ht="42" customHeight="1">
      <c r="E719" s="368"/>
      <c r="F719" s="368"/>
      <c r="G719" s="368"/>
      <c r="H719" s="368"/>
      <c r="V719" s="368"/>
      <c r="W719" s="368"/>
    </row>
    <row r="720" spans="5:23" ht="42" customHeight="1">
      <c r="E720" s="368"/>
      <c r="F720" s="368"/>
      <c r="G720" s="368"/>
      <c r="H720" s="368"/>
      <c r="V720" s="368"/>
      <c r="W720" s="368"/>
    </row>
    <row r="721" spans="5:23" ht="42" customHeight="1">
      <c r="E721" s="368"/>
      <c r="F721" s="368"/>
      <c r="G721" s="368"/>
      <c r="H721" s="368"/>
      <c r="V721" s="368"/>
      <c r="W721" s="368"/>
    </row>
    <row r="722" spans="5:23" ht="42" customHeight="1">
      <c r="E722" s="368"/>
      <c r="F722" s="368"/>
      <c r="G722" s="368"/>
      <c r="H722" s="368"/>
      <c r="V722" s="368"/>
      <c r="W722" s="368"/>
    </row>
    <row r="723" spans="5:23" ht="42" customHeight="1">
      <c r="E723" s="368"/>
      <c r="F723" s="368"/>
      <c r="G723" s="368"/>
      <c r="H723" s="368"/>
      <c r="V723" s="368"/>
      <c r="W723" s="368"/>
    </row>
    <row r="724" spans="5:23" ht="42" customHeight="1">
      <c r="E724" s="368"/>
      <c r="F724" s="368"/>
      <c r="G724" s="368"/>
      <c r="H724" s="368"/>
      <c r="V724" s="368"/>
      <c r="W724" s="368"/>
    </row>
    <row r="725" spans="5:23" ht="42" customHeight="1">
      <c r="E725" s="368"/>
      <c r="F725" s="368"/>
      <c r="G725" s="368"/>
      <c r="H725" s="368"/>
      <c r="V725" s="368"/>
      <c r="W725" s="368"/>
    </row>
    <row r="726" spans="5:23" ht="42" customHeight="1">
      <c r="E726" s="368"/>
      <c r="F726" s="368"/>
      <c r="G726" s="368"/>
      <c r="H726" s="368"/>
      <c r="V726" s="368"/>
      <c r="W726" s="368"/>
    </row>
    <row r="727" spans="5:23" ht="42" customHeight="1">
      <c r="E727" s="368"/>
      <c r="F727" s="368"/>
      <c r="G727" s="368"/>
      <c r="H727" s="368"/>
      <c r="V727" s="368"/>
      <c r="W727" s="368"/>
    </row>
    <row r="728" spans="5:23" ht="42" customHeight="1">
      <c r="E728" s="368"/>
      <c r="F728" s="368"/>
      <c r="G728" s="368"/>
      <c r="H728" s="368"/>
      <c r="V728" s="368"/>
      <c r="W728" s="368"/>
    </row>
    <row r="729" spans="5:23" ht="42" customHeight="1">
      <c r="E729" s="368"/>
      <c r="F729" s="368"/>
      <c r="G729" s="368"/>
      <c r="H729" s="368"/>
      <c r="V729" s="368"/>
      <c r="W729" s="368"/>
    </row>
    <row r="730" spans="5:23" ht="42" customHeight="1">
      <c r="E730" s="368"/>
      <c r="F730" s="368"/>
      <c r="G730" s="368"/>
      <c r="H730" s="368"/>
      <c r="V730" s="368"/>
      <c r="W730" s="368"/>
    </row>
    <row r="731" spans="5:23" ht="42" customHeight="1">
      <c r="E731" s="368"/>
      <c r="F731" s="368"/>
      <c r="G731" s="368"/>
      <c r="H731" s="368"/>
      <c r="V731" s="368"/>
      <c r="W731" s="368"/>
    </row>
    <row r="732" spans="5:23" ht="42" customHeight="1">
      <c r="E732" s="368"/>
      <c r="F732" s="368"/>
      <c r="G732" s="368"/>
      <c r="H732" s="368"/>
      <c r="V732" s="368"/>
      <c r="W732" s="368"/>
    </row>
    <row r="733" spans="5:23" ht="42" customHeight="1">
      <c r="E733" s="368"/>
      <c r="F733" s="368"/>
      <c r="G733" s="368"/>
      <c r="H733" s="368"/>
      <c r="V733" s="368"/>
      <c r="W733" s="368"/>
    </row>
    <row r="734" spans="5:23" ht="42" customHeight="1">
      <c r="E734" s="368"/>
      <c r="F734" s="368"/>
      <c r="G734" s="368"/>
      <c r="H734" s="368"/>
      <c r="V734" s="368"/>
      <c r="W734" s="368"/>
    </row>
    <row r="735" spans="5:23" ht="42" customHeight="1">
      <c r="E735" s="368"/>
      <c r="F735" s="368"/>
      <c r="G735" s="368"/>
      <c r="H735" s="368"/>
      <c r="V735" s="368"/>
      <c r="W735" s="368"/>
    </row>
    <row r="736" spans="5:23" ht="42" customHeight="1">
      <c r="E736" s="368"/>
      <c r="F736" s="368"/>
      <c r="G736" s="368"/>
      <c r="H736" s="368"/>
      <c r="V736" s="368"/>
      <c r="W736" s="368"/>
    </row>
    <row r="737" spans="5:23" ht="42" customHeight="1">
      <c r="E737" s="368"/>
      <c r="F737" s="368"/>
      <c r="G737" s="368"/>
      <c r="H737" s="368"/>
      <c r="V737" s="368"/>
      <c r="W737" s="368"/>
    </row>
    <row r="738" spans="5:23" ht="42" customHeight="1">
      <c r="E738" s="368"/>
      <c r="F738" s="368"/>
      <c r="G738" s="368"/>
      <c r="H738" s="368"/>
      <c r="V738" s="368"/>
      <c r="W738" s="368"/>
    </row>
    <row r="739" spans="5:23" ht="42" customHeight="1">
      <c r="E739" s="368"/>
      <c r="F739" s="368"/>
      <c r="G739" s="368"/>
      <c r="H739" s="368"/>
      <c r="V739" s="368"/>
      <c r="W739" s="368"/>
    </row>
    <row r="740" spans="5:23" ht="42" customHeight="1">
      <c r="E740" s="368"/>
      <c r="F740" s="368"/>
      <c r="G740" s="368"/>
      <c r="H740" s="368"/>
      <c r="V740" s="368"/>
      <c r="W740" s="368"/>
    </row>
    <row r="741" spans="5:23" ht="42" customHeight="1">
      <c r="E741" s="368"/>
      <c r="F741" s="368"/>
      <c r="G741" s="368"/>
      <c r="H741" s="368"/>
      <c r="V741" s="368"/>
      <c r="W741" s="368"/>
    </row>
    <row r="742" spans="5:23" ht="42" customHeight="1">
      <c r="E742" s="368"/>
      <c r="F742" s="368"/>
      <c r="G742" s="368"/>
      <c r="H742" s="368"/>
      <c r="V742" s="368"/>
      <c r="W742" s="368"/>
    </row>
    <row r="743" spans="5:23" ht="42" customHeight="1">
      <c r="E743" s="368"/>
      <c r="F743" s="368"/>
      <c r="G743" s="368"/>
      <c r="H743" s="368"/>
      <c r="V743" s="368"/>
      <c r="W743" s="368"/>
    </row>
    <row r="744" spans="5:23" ht="42" customHeight="1">
      <c r="E744" s="368"/>
      <c r="F744" s="368"/>
      <c r="G744" s="368"/>
      <c r="H744" s="368"/>
      <c r="V744" s="368"/>
      <c r="W744" s="368"/>
    </row>
    <row r="745" spans="5:23" ht="42" customHeight="1">
      <c r="E745" s="368"/>
      <c r="F745" s="368"/>
      <c r="G745" s="368"/>
      <c r="H745" s="368"/>
      <c r="V745" s="368"/>
      <c r="W745" s="368"/>
    </row>
    <row r="746" spans="5:23" ht="42" customHeight="1">
      <c r="E746" s="368"/>
      <c r="F746" s="368"/>
      <c r="G746" s="368"/>
      <c r="H746" s="368"/>
      <c r="V746" s="368"/>
      <c r="W746" s="368"/>
    </row>
    <row r="747" spans="5:23" ht="42" customHeight="1">
      <c r="E747" s="368"/>
      <c r="F747" s="368"/>
      <c r="G747" s="368"/>
      <c r="H747" s="368"/>
      <c r="V747" s="368"/>
      <c r="W747" s="368"/>
    </row>
    <row r="748" spans="5:23" ht="42" customHeight="1">
      <c r="E748" s="368"/>
      <c r="F748" s="368"/>
      <c r="G748" s="368"/>
      <c r="H748" s="368"/>
      <c r="V748" s="368"/>
      <c r="W748" s="368"/>
    </row>
    <row r="749" spans="5:23" ht="42" customHeight="1">
      <c r="E749" s="368"/>
      <c r="F749" s="368"/>
      <c r="G749" s="368"/>
      <c r="H749" s="368"/>
      <c r="V749" s="368"/>
      <c r="W749" s="368"/>
    </row>
    <row r="750" spans="5:23" ht="42" customHeight="1">
      <c r="E750" s="368"/>
      <c r="F750" s="368"/>
      <c r="G750" s="368"/>
      <c r="H750" s="368"/>
      <c r="V750" s="368"/>
      <c r="W750" s="368"/>
    </row>
    <row r="751" spans="5:23" ht="42" customHeight="1">
      <c r="E751" s="368"/>
      <c r="F751" s="368"/>
      <c r="G751" s="368"/>
      <c r="H751" s="368"/>
      <c r="V751" s="368"/>
      <c r="W751" s="368"/>
    </row>
    <row r="752" spans="5:23" ht="42" customHeight="1">
      <c r="E752" s="368"/>
      <c r="F752" s="368"/>
      <c r="G752" s="368"/>
      <c r="H752" s="368"/>
      <c r="V752" s="368"/>
      <c r="W752" s="368"/>
    </row>
    <row r="753" spans="5:23" ht="42" customHeight="1">
      <c r="E753" s="368"/>
      <c r="F753" s="368"/>
      <c r="G753" s="368"/>
      <c r="H753" s="368"/>
      <c r="V753" s="368"/>
      <c r="W753" s="368"/>
    </row>
    <row r="754" spans="5:23" ht="42" customHeight="1">
      <c r="E754" s="368"/>
      <c r="F754" s="368"/>
      <c r="G754" s="368"/>
      <c r="H754" s="368"/>
      <c r="V754" s="368"/>
      <c r="W754" s="368"/>
    </row>
    <row r="755" spans="5:23" ht="42" customHeight="1">
      <c r="E755" s="368"/>
      <c r="F755" s="368"/>
      <c r="G755" s="368"/>
      <c r="H755" s="368"/>
      <c r="V755" s="368"/>
      <c r="W755" s="368"/>
    </row>
    <row r="756" spans="5:23" ht="42" customHeight="1">
      <c r="E756" s="368"/>
      <c r="F756" s="368"/>
      <c r="G756" s="368"/>
      <c r="H756" s="368"/>
      <c r="V756" s="368"/>
      <c r="W756" s="368"/>
    </row>
    <row r="757" spans="5:23" ht="42" customHeight="1">
      <c r="E757" s="368"/>
      <c r="F757" s="368"/>
      <c r="G757" s="368"/>
      <c r="H757" s="368"/>
      <c r="V757" s="368"/>
      <c r="W757" s="368"/>
    </row>
    <row r="758" spans="5:23" ht="42" customHeight="1">
      <c r="E758" s="368"/>
      <c r="F758" s="368"/>
      <c r="G758" s="368"/>
      <c r="H758" s="368"/>
      <c r="V758" s="368"/>
      <c r="W758" s="368"/>
    </row>
    <row r="759" spans="5:23" ht="42" customHeight="1">
      <c r="E759" s="368"/>
      <c r="F759" s="368"/>
      <c r="G759" s="368"/>
      <c r="H759" s="368"/>
      <c r="V759" s="368"/>
      <c r="W759" s="368"/>
    </row>
    <row r="760" spans="5:23" ht="42" customHeight="1">
      <c r="E760" s="368"/>
      <c r="F760" s="368"/>
      <c r="G760" s="368"/>
      <c r="H760" s="368"/>
      <c r="V760" s="368"/>
      <c r="W760" s="368"/>
    </row>
    <row r="761" spans="5:23" ht="42" customHeight="1">
      <c r="E761" s="368"/>
      <c r="F761" s="368"/>
      <c r="G761" s="368"/>
      <c r="H761" s="368"/>
      <c r="V761" s="368"/>
      <c r="W761" s="368"/>
    </row>
    <row r="762" spans="5:23" ht="42" customHeight="1">
      <c r="E762" s="368"/>
      <c r="F762" s="368"/>
      <c r="G762" s="368"/>
      <c r="H762" s="368"/>
      <c r="V762" s="368"/>
      <c r="W762" s="368"/>
    </row>
    <row r="763" spans="5:23" ht="42" customHeight="1">
      <c r="E763" s="368"/>
      <c r="F763" s="368"/>
      <c r="G763" s="368"/>
      <c r="H763" s="368"/>
      <c r="V763" s="368"/>
      <c r="W763" s="368"/>
    </row>
    <row r="764" spans="5:23" ht="42" customHeight="1">
      <c r="E764" s="368"/>
      <c r="F764" s="368"/>
      <c r="G764" s="368"/>
      <c r="H764" s="368"/>
      <c r="V764" s="368"/>
      <c r="W764" s="368"/>
    </row>
    <row r="765" spans="5:23" ht="42" customHeight="1">
      <c r="E765" s="368"/>
      <c r="F765" s="368"/>
      <c r="G765" s="368"/>
      <c r="H765" s="368"/>
      <c r="V765" s="368"/>
      <c r="W765" s="368"/>
    </row>
    <row r="766" spans="5:23" ht="42" customHeight="1">
      <c r="E766" s="368"/>
      <c r="F766" s="368"/>
      <c r="G766" s="368"/>
      <c r="H766" s="368"/>
      <c r="V766" s="368"/>
      <c r="W766" s="368"/>
    </row>
    <row r="767" spans="5:23" ht="42" customHeight="1">
      <c r="E767" s="368"/>
      <c r="F767" s="368"/>
      <c r="G767" s="368"/>
      <c r="H767" s="368"/>
      <c r="V767" s="368"/>
      <c r="W767" s="368"/>
    </row>
    <row r="768" spans="5:23" ht="42" customHeight="1">
      <c r="E768" s="368"/>
      <c r="F768" s="368"/>
      <c r="G768" s="368"/>
      <c r="H768" s="368"/>
      <c r="V768" s="368"/>
      <c r="W768" s="368"/>
    </row>
    <row r="769" spans="5:23" ht="42" customHeight="1">
      <c r="E769" s="368"/>
      <c r="F769" s="368"/>
      <c r="G769" s="368"/>
      <c r="H769" s="368"/>
      <c r="V769" s="368"/>
      <c r="W769" s="368"/>
    </row>
    <row r="770" spans="5:23" ht="42" customHeight="1">
      <c r="E770" s="368"/>
      <c r="F770" s="368"/>
      <c r="G770" s="368"/>
      <c r="H770" s="368"/>
      <c r="V770" s="368"/>
      <c r="W770" s="368"/>
    </row>
    <row r="771" spans="5:23" ht="42" customHeight="1">
      <c r="E771" s="368"/>
      <c r="F771" s="368"/>
      <c r="G771" s="368"/>
      <c r="H771" s="368"/>
      <c r="V771" s="368"/>
      <c r="W771" s="368"/>
    </row>
    <row r="772" spans="5:23" ht="42" customHeight="1">
      <c r="E772" s="368"/>
      <c r="F772" s="368"/>
      <c r="G772" s="368"/>
      <c r="H772" s="368"/>
      <c r="V772" s="368"/>
      <c r="W772" s="368"/>
    </row>
    <row r="773" spans="5:23" ht="42" customHeight="1">
      <c r="E773" s="368"/>
      <c r="F773" s="368"/>
      <c r="G773" s="368"/>
      <c r="H773" s="368"/>
      <c r="V773" s="368"/>
      <c r="W773" s="368"/>
    </row>
    <row r="774" spans="5:23" ht="42" customHeight="1">
      <c r="E774" s="368"/>
      <c r="F774" s="368"/>
      <c r="G774" s="368"/>
      <c r="H774" s="368"/>
      <c r="V774" s="368"/>
      <c r="W774" s="368"/>
    </row>
    <row r="775" spans="5:23" ht="42" customHeight="1">
      <c r="E775" s="368"/>
      <c r="F775" s="368"/>
      <c r="G775" s="368"/>
      <c r="H775" s="368"/>
      <c r="V775" s="368"/>
      <c r="W775" s="368"/>
    </row>
    <row r="776" spans="5:23" ht="42" customHeight="1">
      <c r="E776" s="368"/>
      <c r="F776" s="368"/>
      <c r="G776" s="368"/>
      <c r="H776" s="368"/>
      <c r="V776" s="368"/>
      <c r="W776" s="368"/>
    </row>
    <row r="777" spans="5:23" ht="42" customHeight="1">
      <c r="E777" s="368"/>
      <c r="F777" s="368"/>
      <c r="G777" s="368"/>
      <c r="H777" s="368"/>
      <c r="V777" s="368"/>
      <c r="W777" s="368"/>
    </row>
    <row r="778" spans="5:23" ht="42" customHeight="1">
      <c r="E778" s="368"/>
      <c r="F778" s="368"/>
      <c r="G778" s="368"/>
      <c r="H778" s="368"/>
      <c r="V778" s="368"/>
      <c r="W778" s="368"/>
    </row>
    <row r="779" spans="5:23" ht="42" customHeight="1">
      <c r="E779" s="368"/>
      <c r="F779" s="368"/>
      <c r="G779" s="368"/>
      <c r="H779" s="368"/>
      <c r="V779" s="368"/>
      <c r="W779" s="368"/>
    </row>
    <row r="780" spans="5:23" ht="42" customHeight="1">
      <c r="E780" s="368"/>
      <c r="F780" s="368"/>
      <c r="G780" s="368"/>
      <c r="H780" s="368"/>
      <c r="V780" s="368"/>
      <c r="W780" s="368"/>
    </row>
    <row r="781" spans="5:23" ht="42" customHeight="1">
      <c r="E781" s="368"/>
      <c r="F781" s="368"/>
      <c r="G781" s="368"/>
      <c r="H781" s="368"/>
      <c r="V781" s="368"/>
      <c r="W781" s="368"/>
    </row>
    <row r="782" spans="5:23" ht="42" customHeight="1">
      <c r="E782" s="368"/>
      <c r="F782" s="368"/>
      <c r="G782" s="368"/>
      <c r="H782" s="368"/>
      <c r="V782" s="368"/>
      <c r="W782" s="368"/>
    </row>
    <row r="783" spans="5:23" ht="42" customHeight="1">
      <c r="E783" s="368"/>
      <c r="F783" s="368"/>
      <c r="G783" s="368"/>
      <c r="H783" s="368"/>
      <c r="V783" s="368"/>
      <c r="W783" s="368"/>
    </row>
    <row r="784" spans="5:23" ht="42" customHeight="1">
      <c r="E784" s="368"/>
      <c r="F784" s="368"/>
      <c r="G784" s="368"/>
      <c r="H784" s="368"/>
      <c r="V784" s="368"/>
      <c r="W784" s="368"/>
    </row>
    <row r="785" spans="5:23" ht="42" customHeight="1">
      <c r="E785" s="368"/>
      <c r="F785" s="368"/>
      <c r="G785" s="368"/>
      <c r="H785" s="368"/>
      <c r="V785" s="368"/>
      <c r="W785" s="368"/>
    </row>
    <row r="786" spans="5:23" ht="42" customHeight="1">
      <c r="E786" s="368"/>
      <c r="F786" s="368"/>
      <c r="G786" s="368"/>
      <c r="H786" s="368"/>
      <c r="V786" s="368"/>
      <c r="W786" s="368"/>
    </row>
    <row r="787" spans="5:23" ht="42" customHeight="1">
      <c r="E787" s="368"/>
      <c r="F787" s="368"/>
      <c r="G787" s="368"/>
      <c r="H787" s="368"/>
      <c r="V787" s="368"/>
      <c r="W787" s="368"/>
    </row>
    <row r="788" spans="5:23" ht="42" customHeight="1">
      <c r="E788" s="368"/>
      <c r="F788" s="368"/>
      <c r="G788" s="368"/>
      <c r="H788" s="368"/>
      <c r="V788" s="368"/>
      <c r="W788" s="368"/>
    </row>
    <row r="789" spans="5:23" ht="42" customHeight="1">
      <c r="E789" s="368"/>
      <c r="F789" s="368"/>
      <c r="G789" s="368"/>
      <c r="H789" s="368"/>
      <c r="V789" s="368"/>
      <c r="W789" s="368"/>
    </row>
    <row r="790" spans="5:23" ht="42" customHeight="1">
      <c r="E790" s="368"/>
      <c r="F790" s="368"/>
      <c r="G790" s="368"/>
      <c r="H790" s="368"/>
      <c r="V790" s="368"/>
      <c r="W790" s="368"/>
    </row>
    <row r="791" spans="5:23" ht="42" customHeight="1">
      <c r="E791" s="368"/>
      <c r="F791" s="368"/>
      <c r="G791" s="368"/>
      <c r="H791" s="368"/>
      <c r="V791" s="368"/>
      <c r="W791" s="368"/>
    </row>
    <row r="792" spans="5:23" ht="42" customHeight="1">
      <c r="E792" s="368"/>
      <c r="F792" s="368"/>
      <c r="G792" s="368"/>
      <c r="H792" s="368"/>
      <c r="V792" s="368"/>
      <c r="W792" s="368"/>
    </row>
    <row r="793" spans="5:23" ht="42" customHeight="1">
      <c r="E793" s="368"/>
      <c r="F793" s="368"/>
      <c r="G793" s="368"/>
      <c r="H793" s="368"/>
      <c r="V793" s="368"/>
      <c r="W793" s="368"/>
    </row>
    <row r="794" spans="5:23" ht="42" customHeight="1">
      <c r="E794" s="368"/>
      <c r="F794" s="368"/>
      <c r="G794" s="368"/>
      <c r="H794" s="368"/>
      <c r="V794" s="368"/>
      <c r="W794" s="368"/>
    </row>
    <row r="795" spans="5:23" ht="42" customHeight="1">
      <c r="E795" s="368"/>
      <c r="F795" s="368"/>
      <c r="G795" s="368"/>
      <c r="H795" s="368"/>
      <c r="V795" s="368"/>
      <c r="W795" s="368"/>
    </row>
    <row r="796" spans="5:23" ht="42" customHeight="1">
      <c r="E796" s="368"/>
      <c r="F796" s="368"/>
      <c r="G796" s="368"/>
      <c r="H796" s="368"/>
      <c r="V796" s="368"/>
      <c r="W796" s="368"/>
    </row>
    <row r="797" spans="5:23" ht="42" customHeight="1">
      <c r="E797" s="368"/>
      <c r="F797" s="368"/>
      <c r="G797" s="368"/>
      <c r="H797" s="368"/>
      <c r="V797" s="368"/>
      <c r="W797" s="368"/>
    </row>
    <row r="798" spans="5:23" ht="42" customHeight="1">
      <c r="E798" s="368"/>
      <c r="F798" s="368"/>
      <c r="G798" s="368"/>
      <c r="H798" s="368"/>
      <c r="V798" s="368"/>
      <c r="W798" s="368"/>
    </row>
    <row r="799" spans="5:23" ht="42" customHeight="1">
      <c r="E799" s="368"/>
      <c r="F799" s="368"/>
      <c r="G799" s="368"/>
      <c r="H799" s="368"/>
      <c r="V799" s="368"/>
      <c r="W799" s="368"/>
    </row>
    <row r="800" spans="5:23" ht="42" customHeight="1">
      <c r="E800" s="368"/>
      <c r="F800" s="368"/>
      <c r="G800" s="368"/>
      <c r="H800" s="368"/>
      <c r="V800" s="368"/>
      <c r="W800" s="368"/>
    </row>
    <row r="801" spans="5:23" ht="42" customHeight="1">
      <c r="E801" s="368"/>
      <c r="F801" s="368"/>
      <c r="G801" s="368"/>
      <c r="H801" s="368"/>
      <c r="V801" s="368"/>
      <c r="W801" s="368"/>
    </row>
    <row r="802" spans="5:23" ht="42" customHeight="1">
      <c r="E802" s="368"/>
      <c r="F802" s="368"/>
      <c r="G802" s="368"/>
      <c r="H802" s="368"/>
      <c r="V802" s="368"/>
      <c r="W802" s="368"/>
    </row>
    <row r="803" spans="5:23" ht="42" customHeight="1">
      <c r="E803" s="368"/>
      <c r="F803" s="368"/>
      <c r="G803" s="368"/>
      <c r="H803" s="368"/>
      <c r="V803" s="368"/>
      <c r="W803" s="368"/>
    </row>
    <row r="804" spans="5:23" ht="42" customHeight="1">
      <c r="E804" s="368"/>
      <c r="F804" s="368"/>
      <c r="G804" s="368"/>
      <c r="H804" s="368"/>
      <c r="V804" s="368"/>
      <c r="W804" s="368"/>
    </row>
    <row r="805" spans="5:23" ht="42" customHeight="1">
      <c r="E805" s="368"/>
      <c r="F805" s="368"/>
      <c r="G805" s="368"/>
      <c r="H805" s="368"/>
      <c r="V805" s="368"/>
      <c r="W805" s="368"/>
    </row>
    <row r="806" spans="5:23" ht="42" customHeight="1">
      <c r="E806" s="368"/>
      <c r="F806" s="368"/>
      <c r="G806" s="368"/>
      <c r="H806" s="368"/>
      <c r="V806" s="368"/>
      <c r="W806" s="368"/>
    </row>
    <row r="807" spans="5:23" ht="42" customHeight="1">
      <c r="E807" s="368"/>
      <c r="F807" s="368"/>
      <c r="G807" s="368"/>
      <c r="H807" s="368"/>
      <c r="V807" s="368"/>
      <c r="W807" s="368"/>
    </row>
    <row r="808" spans="5:23" ht="42" customHeight="1">
      <c r="E808" s="368"/>
      <c r="F808" s="368"/>
      <c r="G808" s="368"/>
      <c r="H808" s="368"/>
      <c r="V808" s="368"/>
      <c r="W808" s="368"/>
    </row>
    <row r="809" spans="5:23" ht="42" customHeight="1">
      <c r="E809" s="368"/>
      <c r="F809" s="368"/>
      <c r="G809" s="368"/>
      <c r="H809" s="368"/>
      <c r="V809" s="368"/>
      <c r="W809" s="368"/>
    </row>
    <row r="810" spans="5:23" ht="42" customHeight="1">
      <c r="E810" s="368"/>
      <c r="F810" s="368"/>
      <c r="G810" s="368"/>
      <c r="H810" s="368"/>
      <c r="V810" s="368"/>
      <c r="W810" s="368"/>
    </row>
    <row r="811" spans="5:23" ht="42" customHeight="1">
      <c r="E811" s="368"/>
      <c r="F811" s="368"/>
      <c r="G811" s="368"/>
      <c r="H811" s="368"/>
      <c r="V811" s="368"/>
      <c r="W811" s="368"/>
    </row>
    <row r="812" spans="5:23" ht="42" customHeight="1">
      <c r="E812" s="368"/>
      <c r="F812" s="368"/>
      <c r="G812" s="368"/>
      <c r="H812" s="368"/>
      <c r="V812" s="368"/>
      <c r="W812" s="368"/>
    </row>
    <row r="813" spans="5:23" ht="42" customHeight="1">
      <c r="E813" s="368"/>
      <c r="F813" s="368"/>
      <c r="G813" s="368"/>
      <c r="H813" s="368"/>
      <c r="V813" s="368"/>
      <c r="W813" s="368"/>
    </row>
    <row r="814" spans="5:23" ht="42" customHeight="1">
      <c r="E814" s="368"/>
      <c r="F814" s="368"/>
      <c r="G814" s="368"/>
      <c r="H814" s="368"/>
      <c r="V814" s="368"/>
      <c r="W814" s="368"/>
    </row>
    <row r="815" spans="5:23" ht="42" customHeight="1">
      <c r="E815" s="368"/>
      <c r="F815" s="368"/>
      <c r="G815" s="368"/>
      <c r="H815" s="368"/>
      <c r="V815" s="368"/>
      <c r="W815" s="368"/>
    </row>
    <row r="816" spans="5:23" ht="42" customHeight="1">
      <c r="E816" s="368"/>
      <c r="F816" s="368"/>
      <c r="G816" s="368"/>
      <c r="H816" s="368"/>
      <c r="V816" s="368"/>
      <c r="W816" s="368"/>
    </row>
    <row r="817" spans="5:23" ht="42" customHeight="1">
      <c r="E817" s="368"/>
      <c r="F817" s="368"/>
      <c r="G817" s="368"/>
      <c r="H817" s="368"/>
      <c r="V817" s="368"/>
      <c r="W817" s="368"/>
    </row>
    <row r="818" spans="5:23" ht="42" customHeight="1">
      <c r="E818" s="368"/>
      <c r="F818" s="368"/>
      <c r="G818" s="368"/>
      <c r="H818" s="368"/>
      <c r="V818" s="368"/>
      <c r="W818" s="368"/>
    </row>
    <row r="819" spans="5:23" ht="42" customHeight="1">
      <c r="E819" s="368"/>
      <c r="F819" s="368"/>
      <c r="G819" s="368"/>
      <c r="H819" s="368"/>
      <c r="V819" s="368"/>
      <c r="W819" s="368"/>
    </row>
    <row r="820" spans="5:23" ht="42" customHeight="1">
      <c r="E820" s="368"/>
      <c r="F820" s="368"/>
      <c r="G820" s="368"/>
      <c r="H820" s="368"/>
      <c r="V820" s="368"/>
      <c r="W820" s="368"/>
    </row>
    <row r="821" spans="5:23" ht="42" customHeight="1">
      <c r="E821" s="368"/>
      <c r="F821" s="368"/>
      <c r="G821" s="368"/>
      <c r="H821" s="368"/>
      <c r="V821" s="368"/>
      <c r="W821" s="368"/>
    </row>
    <row r="822" spans="5:23" ht="42" customHeight="1">
      <c r="E822" s="368"/>
      <c r="F822" s="368"/>
      <c r="G822" s="368"/>
      <c r="H822" s="368"/>
      <c r="V822" s="368"/>
      <c r="W822" s="368"/>
    </row>
    <row r="823" spans="5:23" ht="42" customHeight="1">
      <c r="E823" s="368"/>
      <c r="F823" s="368"/>
      <c r="G823" s="368"/>
      <c r="H823" s="368"/>
      <c r="V823" s="368"/>
      <c r="W823" s="368"/>
    </row>
    <row r="824" spans="5:23" ht="42" customHeight="1">
      <c r="E824" s="368"/>
      <c r="F824" s="368"/>
      <c r="G824" s="368"/>
      <c r="H824" s="368"/>
      <c r="V824" s="368"/>
      <c r="W824" s="368"/>
    </row>
    <row r="825" spans="5:23" ht="42" customHeight="1">
      <c r="E825" s="368"/>
      <c r="F825" s="368"/>
      <c r="G825" s="368"/>
      <c r="H825" s="368"/>
      <c r="V825" s="368"/>
      <c r="W825" s="368"/>
    </row>
    <row r="826" spans="5:23" ht="42" customHeight="1">
      <c r="E826" s="368"/>
      <c r="F826" s="368"/>
      <c r="G826" s="368"/>
      <c r="H826" s="368"/>
      <c r="V826" s="368"/>
      <c r="W826" s="368"/>
    </row>
    <row r="827" spans="5:23" ht="42" customHeight="1">
      <c r="E827" s="368"/>
      <c r="F827" s="368"/>
      <c r="G827" s="368"/>
      <c r="H827" s="368"/>
      <c r="V827" s="368"/>
      <c r="W827" s="368"/>
    </row>
    <row r="828" spans="5:23" ht="42" customHeight="1">
      <c r="E828" s="368"/>
      <c r="F828" s="368"/>
      <c r="G828" s="368"/>
      <c r="H828" s="368"/>
      <c r="V828" s="368"/>
      <c r="W828" s="368"/>
    </row>
    <row r="829" spans="5:23" ht="42" customHeight="1">
      <c r="E829" s="368"/>
      <c r="F829" s="368"/>
      <c r="G829" s="368"/>
      <c r="H829" s="368"/>
      <c r="V829" s="368"/>
      <c r="W829" s="368"/>
    </row>
    <row r="830" spans="5:23" ht="42" customHeight="1">
      <c r="E830" s="368"/>
      <c r="F830" s="368"/>
      <c r="G830" s="368"/>
      <c r="H830" s="368"/>
      <c r="V830" s="368"/>
      <c r="W830" s="368"/>
    </row>
    <row r="831" spans="5:23" ht="42" customHeight="1">
      <c r="E831" s="368"/>
      <c r="F831" s="368"/>
      <c r="G831" s="368"/>
      <c r="H831" s="368"/>
      <c r="V831" s="368"/>
      <c r="W831" s="368"/>
    </row>
    <row r="832" spans="5:23" ht="42" customHeight="1">
      <c r="E832" s="368"/>
      <c r="F832" s="368"/>
      <c r="G832" s="368"/>
      <c r="H832" s="368"/>
      <c r="V832" s="368"/>
      <c r="W832" s="368"/>
    </row>
    <row r="833" spans="5:23" ht="42" customHeight="1">
      <c r="E833" s="368"/>
      <c r="F833" s="368"/>
      <c r="G833" s="368"/>
      <c r="H833" s="368"/>
      <c r="V833" s="368"/>
      <c r="W833" s="368"/>
    </row>
    <row r="834" spans="5:23" ht="42" customHeight="1">
      <c r="E834" s="368"/>
      <c r="F834" s="368"/>
      <c r="G834" s="368"/>
      <c r="H834" s="368"/>
      <c r="V834" s="368"/>
      <c r="W834" s="368"/>
    </row>
    <row r="835" spans="5:23" ht="42" customHeight="1">
      <c r="E835" s="368"/>
      <c r="F835" s="368"/>
      <c r="G835" s="368"/>
      <c r="H835" s="368"/>
      <c r="V835" s="368"/>
      <c r="W835" s="368"/>
    </row>
    <row r="836" spans="5:23" ht="42" customHeight="1">
      <c r="E836" s="368"/>
      <c r="F836" s="368"/>
      <c r="G836" s="368"/>
      <c r="H836" s="368"/>
      <c r="V836" s="368"/>
      <c r="W836" s="368"/>
    </row>
    <row r="837" spans="5:23" ht="42" customHeight="1">
      <c r="E837" s="368"/>
      <c r="F837" s="368"/>
      <c r="G837" s="368"/>
      <c r="H837" s="368"/>
      <c r="V837" s="368"/>
      <c r="W837" s="368"/>
    </row>
    <row r="838" spans="5:23" ht="42" customHeight="1">
      <c r="E838" s="368"/>
      <c r="F838" s="368"/>
      <c r="G838" s="368"/>
      <c r="H838" s="368"/>
      <c r="V838" s="368"/>
      <c r="W838" s="368"/>
    </row>
    <row r="839" spans="5:23" ht="42" customHeight="1">
      <c r="E839" s="368"/>
      <c r="F839" s="368"/>
      <c r="G839" s="368"/>
      <c r="H839" s="368"/>
      <c r="V839" s="368"/>
      <c r="W839" s="368"/>
    </row>
    <row r="840" spans="5:23" ht="42" customHeight="1">
      <c r="E840" s="368"/>
      <c r="F840" s="368"/>
      <c r="G840" s="368"/>
      <c r="H840" s="368"/>
      <c r="V840" s="368"/>
      <c r="W840" s="368"/>
    </row>
    <row r="841" spans="5:23" ht="42" customHeight="1">
      <c r="E841" s="368"/>
      <c r="F841" s="368"/>
      <c r="G841" s="368"/>
      <c r="H841" s="368"/>
      <c r="V841" s="368"/>
      <c r="W841" s="368"/>
    </row>
    <row r="842" spans="5:23" ht="42" customHeight="1">
      <c r="E842" s="368"/>
      <c r="F842" s="368"/>
      <c r="G842" s="368"/>
      <c r="H842" s="368"/>
      <c r="V842" s="368"/>
      <c r="W842" s="368"/>
    </row>
    <row r="843" spans="5:23" ht="42" customHeight="1">
      <c r="E843" s="368"/>
      <c r="F843" s="368"/>
      <c r="G843" s="368"/>
      <c r="H843" s="368"/>
      <c r="V843" s="368"/>
      <c r="W843" s="368"/>
    </row>
    <row r="844" spans="5:23" ht="42" customHeight="1">
      <c r="E844" s="368"/>
      <c r="F844" s="368"/>
      <c r="G844" s="368"/>
      <c r="H844" s="368"/>
      <c r="V844" s="368"/>
      <c r="W844" s="368"/>
    </row>
    <row r="845" spans="5:23" ht="42" customHeight="1">
      <c r="E845" s="368"/>
      <c r="F845" s="368"/>
      <c r="G845" s="368"/>
      <c r="H845" s="368"/>
      <c r="V845" s="368"/>
      <c r="W845" s="368"/>
    </row>
    <row r="846" spans="5:23" ht="42" customHeight="1">
      <c r="E846" s="368"/>
      <c r="F846" s="368"/>
      <c r="G846" s="368"/>
      <c r="H846" s="368"/>
      <c r="V846" s="368"/>
      <c r="W846" s="368"/>
    </row>
    <row r="847" spans="5:23" ht="42" customHeight="1">
      <c r="E847" s="368"/>
      <c r="F847" s="368"/>
      <c r="G847" s="368"/>
      <c r="H847" s="368"/>
      <c r="V847" s="368"/>
      <c r="W847" s="368"/>
    </row>
    <row r="848" spans="5:23" ht="42" customHeight="1">
      <c r="E848" s="368"/>
      <c r="F848" s="368"/>
      <c r="G848" s="368"/>
      <c r="H848" s="368"/>
      <c r="V848" s="368"/>
      <c r="W848" s="368"/>
    </row>
    <row r="849" spans="5:23" ht="42" customHeight="1">
      <c r="E849" s="368"/>
      <c r="F849" s="368"/>
      <c r="G849" s="368"/>
      <c r="H849" s="368"/>
      <c r="V849" s="368"/>
      <c r="W849" s="368"/>
    </row>
    <row r="850" spans="5:23" ht="42" customHeight="1">
      <c r="E850" s="368"/>
      <c r="F850" s="368"/>
      <c r="G850" s="368"/>
      <c r="H850" s="368"/>
      <c r="V850" s="368"/>
      <c r="W850" s="368"/>
    </row>
    <row r="851" spans="5:23" ht="42" customHeight="1">
      <c r="E851" s="368"/>
      <c r="F851" s="368"/>
      <c r="G851" s="368"/>
      <c r="H851" s="368"/>
      <c r="V851" s="368"/>
      <c r="W851" s="368"/>
    </row>
    <row r="852" spans="5:23" ht="42" customHeight="1">
      <c r="E852" s="368"/>
      <c r="F852" s="368"/>
      <c r="G852" s="368"/>
      <c r="H852" s="368"/>
      <c r="V852" s="368"/>
      <c r="W852" s="368"/>
    </row>
    <row r="853" spans="5:23" ht="42" customHeight="1">
      <c r="E853" s="368"/>
      <c r="F853" s="368"/>
      <c r="G853" s="368"/>
      <c r="H853" s="368"/>
      <c r="V853" s="368"/>
      <c r="W853" s="368"/>
    </row>
    <row r="854" spans="5:23" ht="42" customHeight="1">
      <c r="E854" s="368"/>
      <c r="F854" s="368"/>
      <c r="G854" s="368"/>
      <c r="H854" s="368"/>
      <c r="V854" s="368"/>
      <c r="W854" s="368"/>
    </row>
    <row r="855" spans="5:23" ht="42" customHeight="1">
      <c r="E855" s="368"/>
      <c r="F855" s="368"/>
      <c r="G855" s="368"/>
      <c r="H855" s="368"/>
      <c r="V855" s="368"/>
      <c r="W855" s="368"/>
    </row>
    <row r="856" spans="5:23" ht="42" customHeight="1">
      <c r="E856" s="368"/>
      <c r="F856" s="368"/>
      <c r="G856" s="368"/>
      <c r="H856" s="368"/>
      <c r="V856" s="368"/>
      <c r="W856" s="368"/>
    </row>
    <row r="857" spans="5:23" ht="42" customHeight="1">
      <c r="E857" s="368"/>
      <c r="F857" s="368"/>
      <c r="G857" s="368"/>
      <c r="H857" s="368"/>
      <c r="V857" s="368"/>
      <c r="W857" s="368"/>
    </row>
    <row r="858" spans="5:23" ht="42" customHeight="1">
      <c r="E858" s="368"/>
      <c r="F858" s="368"/>
      <c r="G858" s="368"/>
      <c r="H858" s="368"/>
      <c r="V858" s="368"/>
      <c r="W858" s="368"/>
    </row>
    <row r="859" spans="5:23" ht="42" customHeight="1">
      <c r="E859" s="368"/>
      <c r="F859" s="368"/>
      <c r="G859" s="368"/>
      <c r="H859" s="368"/>
      <c r="V859" s="368"/>
      <c r="W859" s="368"/>
    </row>
    <row r="860" spans="5:23" ht="42" customHeight="1">
      <c r="E860" s="368"/>
      <c r="F860" s="368"/>
      <c r="G860" s="368"/>
      <c r="H860" s="368"/>
      <c r="V860" s="368"/>
      <c r="W860" s="368"/>
    </row>
    <row r="861" spans="5:23" ht="42" customHeight="1">
      <c r="E861" s="368"/>
      <c r="F861" s="368"/>
      <c r="G861" s="368"/>
      <c r="H861" s="368"/>
      <c r="V861" s="368"/>
      <c r="W861" s="368"/>
    </row>
    <row r="862" spans="5:23" ht="42" customHeight="1">
      <c r="E862" s="368"/>
      <c r="F862" s="368"/>
      <c r="G862" s="368"/>
      <c r="H862" s="368"/>
      <c r="V862" s="368"/>
      <c r="W862" s="368"/>
    </row>
    <row r="863" spans="5:23" ht="42" customHeight="1">
      <c r="E863" s="368"/>
      <c r="F863" s="368"/>
      <c r="G863" s="368"/>
      <c r="H863" s="368"/>
      <c r="V863" s="368"/>
      <c r="W863" s="368"/>
    </row>
    <row r="864" spans="5:23" ht="42" customHeight="1">
      <c r="E864" s="368"/>
      <c r="F864" s="368"/>
      <c r="G864" s="368"/>
      <c r="H864" s="368"/>
      <c r="V864" s="368"/>
      <c r="W864" s="368"/>
    </row>
    <row r="865" spans="5:23" ht="42" customHeight="1">
      <c r="E865" s="368"/>
      <c r="F865" s="368"/>
      <c r="G865" s="368"/>
      <c r="H865" s="368"/>
      <c r="V865" s="368"/>
      <c r="W865" s="368"/>
    </row>
    <row r="866" spans="5:23" ht="42" customHeight="1">
      <c r="E866" s="368"/>
      <c r="F866" s="368"/>
      <c r="G866" s="368"/>
      <c r="H866" s="368"/>
      <c r="V866" s="368"/>
      <c r="W866" s="368"/>
    </row>
    <row r="867" spans="5:23" ht="42" customHeight="1">
      <c r="E867" s="368"/>
      <c r="F867" s="368"/>
      <c r="G867" s="368"/>
      <c r="H867" s="368"/>
      <c r="V867" s="368"/>
      <c r="W867" s="368"/>
    </row>
    <row r="868" spans="5:23" ht="42" customHeight="1">
      <c r="E868" s="368"/>
      <c r="F868" s="368"/>
      <c r="G868" s="368"/>
      <c r="H868" s="368"/>
      <c r="V868" s="368"/>
      <c r="W868" s="368"/>
    </row>
    <row r="869" spans="5:23" ht="42" customHeight="1">
      <c r="E869" s="368"/>
      <c r="F869" s="368"/>
      <c r="G869" s="368"/>
      <c r="H869" s="368"/>
      <c r="V869" s="368"/>
      <c r="W869" s="368"/>
    </row>
    <row r="870" spans="5:23" ht="42" customHeight="1">
      <c r="E870" s="368"/>
      <c r="F870" s="368"/>
      <c r="G870" s="368"/>
      <c r="H870" s="368"/>
      <c r="V870" s="368"/>
      <c r="W870" s="368"/>
    </row>
    <row r="871" spans="5:23" ht="42" customHeight="1">
      <c r="E871" s="368"/>
      <c r="F871" s="368"/>
      <c r="G871" s="368"/>
      <c r="H871" s="368"/>
      <c r="V871" s="368"/>
      <c r="W871" s="368"/>
    </row>
    <row r="872" spans="5:23" ht="42" customHeight="1">
      <c r="E872" s="368"/>
      <c r="F872" s="368"/>
      <c r="G872" s="368"/>
      <c r="H872" s="368"/>
      <c r="V872" s="368"/>
      <c r="W872" s="368"/>
    </row>
    <row r="873" spans="5:23" ht="42" customHeight="1">
      <c r="E873" s="368"/>
      <c r="F873" s="368"/>
      <c r="G873" s="368"/>
      <c r="H873" s="368"/>
      <c r="V873" s="368"/>
      <c r="W873" s="368"/>
    </row>
    <row r="874" spans="5:23" ht="42" customHeight="1">
      <c r="E874" s="368"/>
      <c r="F874" s="368"/>
      <c r="G874" s="368"/>
      <c r="H874" s="368"/>
      <c r="V874" s="368"/>
      <c r="W874" s="368"/>
    </row>
    <row r="875" spans="5:23" ht="42" customHeight="1">
      <c r="E875" s="368"/>
      <c r="F875" s="368"/>
      <c r="G875" s="368"/>
      <c r="H875" s="368"/>
      <c r="V875" s="368"/>
      <c r="W875" s="368"/>
    </row>
    <row r="876" spans="5:23" ht="42" customHeight="1">
      <c r="E876" s="368"/>
      <c r="F876" s="368"/>
      <c r="G876" s="368"/>
      <c r="H876" s="368"/>
      <c r="V876" s="368"/>
      <c r="W876" s="368"/>
    </row>
    <row r="877" spans="5:23" ht="42" customHeight="1">
      <c r="E877" s="368"/>
      <c r="F877" s="368"/>
      <c r="G877" s="368"/>
      <c r="H877" s="368"/>
      <c r="V877" s="368"/>
      <c r="W877" s="368"/>
    </row>
    <row r="878" spans="5:23" ht="42" customHeight="1">
      <c r="E878" s="368"/>
      <c r="F878" s="368"/>
      <c r="G878" s="368"/>
      <c r="H878" s="368"/>
      <c r="V878" s="368"/>
      <c r="W878" s="368"/>
    </row>
    <row r="879" spans="5:23" ht="42" customHeight="1">
      <c r="E879" s="368"/>
      <c r="F879" s="368"/>
      <c r="G879" s="368"/>
      <c r="H879" s="368"/>
      <c r="V879" s="368"/>
      <c r="W879" s="368"/>
    </row>
    <row r="880" spans="5:23" ht="42" customHeight="1">
      <c r="E880" s="368"/>
      <c r="F880" s="368"/>
      <c r="G880" s="368"/>
      <c r="H880" s="368"/>
      <c r="V880" s="368"/>
      <c r="W880" s="368"/>
    </row>
    <row r="881" spans="5:23" ht="42" customHeight="1">
      <c r="E881" s="368"/>
      <c r="F881" s="368"/>
      <c r="G881" s="368"/>
      <c r="H881" s="368"/>
      <c r="V881" s="368"/>
      <c r="W881" s="368"/>
    </row>
    <row r="882" spans="5:23" ht="42" customHeight="1">
      <c r="E882" s="368"/>
      <c r="F882" s="368"/>
      <c r="G882" s="368"/>
      <c r="H882" s="368"/>
      <c r="V882" s="368"/>
      <c r="W882" s="368"/>
    </row>
    <row r="883" spans="5:23" ht="42" customHeight="1">
      <c r="E883" s="368"/>
      <c r="F883" s="368"/>
      <c r="G883" s="368"/>
      <c r="H883" s="368"/>
      <c r="V883" s="368"/>
      <c r="W883" s="368"/>
    </row>
    <row r="884" spans="5:23" ht="42" customHeight="1">
      <c r="E884" s="368"/>
      <c r="F884" s="368"/>
      <c r="G884" s="368"/>
      <c r="H884" s="368"/>
      <c r="V884" s="368"/>
      <c r="W884" s="368"/>
    </row>
    <row r="885" spans="5:23" ht="42" customHeight="1">
      <c r="E885" s="368"/>
      <c r="F885" s="368"/>
      <c r="G885" s="368"/>
      <c r="H885" s="368"/>
      <c r="V885" s="368"/>
      <c r="W885" s="368"/>
    </row>
    <row r="886" spans="5:23" ht="42" customHeight="1">
      <c r="E886" s="368"/>
      <c r="F886" s="368"/>
      <c r="G886" s="368"/>
      <c r="H886" s="368"/>
      <c r="V886" s="368"/>
      <c r="W886" s="368"/>
    </row>
    <row r="887" spans="5:23" ht="42" customHeight="1">
      <c r="E887" s="368"/>
      <c r="F887" s="368"/>
      <c r="G887" s="368"/>
      <c r="H887" s="368"/>
      <c r="V887" s="368"/>
      <c r="W887" s="368"/>
    </row>
    <row r="888" spans="5:23" ht="42" customHeight="1">
      <c r="E888" s="368"/>
      <c r="F888" s="368"/>
      <c r="G888" s="368"/>
      <c r="H888" s="368"/>
      <c r="V888" s="368"/>
      <c r="W888" s="368"/>
    </row>
    <row r="889" spans="5:23" ht="42" customHeight="1">
      <c r="E889" s="368"/>
      <c r="F889" s="368"/>
      <c r="G889" s="368"/>
      <c r="H889" s="368"/>
      <c r="V889" s="368"/>
      <c r="W889" s="368"/>
    </row>
    <row r="890" spans="5:23" ht="42" customHeight="1">
      <c r="E890" s="368"/>
      <c r="F890" s="368"/>
      <c r="G890" s="368"/>
      <c r="H890" s="368"/>
      <c r="V890" s="368"/>
      <c r="W890" s="368"/>
    </row>
    <row r="891" spans="5:23" ht="42" customHeight="1">
      <c r="E891" s="368"/>
      <c r="F891" s="368"/>
      <c r="G891" s="368"/>
      <c r="H891" s="368"/>
      <c r="V891" s="368"/>
      <c r="W891" s="368"/>
    </row>
    <row r="892" spans="5:23" ht="42" customHeight="1">
      <c r="E892" s="368"/>
      <c r="F892" s="368"/>
      <c r="G892" s="368"/>
      <c r="H892" s="368"/>
      <c r="V892" s="368"/>
      <c r="W892" s="368"/>
    </row>
    <row r="893" spans="5:23" ht="42" customHeight="1">
      <c r="E893" s="368"/>
      <c r="F893" s="368"/>
      <c r="G893" s="368"/>
      <c r="H893" s="368"/>
      <c r="V893" s="368"/>
      <c r="W893" s="368"/>
    </row>
    <row r="894" spans="5:23" ht="42" customHeight="1">
      <c r="E894" s="368"/>
      <c r="F894" s="368"/>
      <c r="G894" s="368"/>
      <c r="H894" s="368"/>
      <c r="V894" s="368"/>
      <c r="W894" s="368"/>
    </row>
    <row r="895" spans="5:23" ht="42" customHeight="1">
      <c r="E895" s="368"/>
      <c r="F895" s="368"/>
      <c r="G895" s="368"/>
      <c r="H895" s="368"/>
      <c r="V895" s="368"/>
      <c r="W895" s="368"/>
    </row>
    <row r="896" spans="5:23" ht="42" customHeight="1">
      <c r="E896" s="368"/>
      <c r="F896" s="368"/>
      <c r="G896" s="368"/>
      <c r="H896" s="368"/>
      <c r="V896" s="368"/>
      <c r="W896" s="368"/>
    </row>
    <row r="897" spans="5:23" ht="42" customHeight="1">
      <c r="E897" s="368"/>
      <c r="F897" s="368"/>
      <c r="G897" s="368"/>
      <c r="H897" s="368"/>
      <c r="V897" s="368"/>
      <c r="W897" s="368"/>
    </row>
    <row r="898" spans="5:23" ht="42" customHeight="1">
      <c r="E898" s="368"/>
      <c r="F898" s="368"/>
      <c r="G898" s="368"/>
      <c r="H898" s="368"/>
      <c r="V898" s="368"/>
      <c r="W898" s="368"/>
    </row>
    <row r="899" spans="5:23" ht="42" customHeight="1">
      <c r="E899" s="368"/>
      <c r="F899" s="368"/>
      <c r="G899" s="368"/>
      <c r="H899" s="368"/>
      <c r="V899" s="368"/>
      <c r="W899" s="368"/>
    </row>
    <row r="900" spans="5:23" ht="42" customHeight="1">
      <c r="E900" s="368"/>
      <c r="F900" s="368"/>
      <c r="G900" s="368"/>
      <c r="H900" s="368"/>
      <c r="V900" s="368"/>
      <c r="W900" s="368"/>
    </row>
    <row r="901" spans="5:23" ht="42" customHeight="1">
      <c r="E901" s="368"/>
      <c r="F901" s="368"/>
      <c r="G901" s="368"/>
      <c r="H901" s="368"/>
      <c r="V901" s="368"/>
      <c r="W901" s="368"/>
    </row>
    <row r="902" spans="5:23" ht="42" customHeight="1">
      <c r="E902" s="368"/>
      <c r="F902" s="368"/>
      <c r="G902" s="368"/>
      <c r="H902" s="368"/>
      <c r="V902" s="368"/>
      <c r="W902" s="368"/>
    </row>
    <row r="903" spans="5:23" ht="42" customHeight="1">
      <c r="E903" s="368"/>
      <c r="F903" s="368"/>
      <c r="G903" s="368"/>
      <c r="H903" s="368"/>
      <c r="V903" s="368"/>
      <c r="W903" s="368"/>
    </row>
    <row r="904" spans="5:23" ht="42" customHeight="1">
      <c r="E904" s="368"/>
      <c r="F904" s="368"/>
      <c r="G904" s="368"/>
      <c r="H904" s="368"/>
      <c r="V904" s="368"/>
      <c r="W904" s="368"/>
    </row>
    <row r="905" spans="5:23" ht="42" customHeight="1">
      <c r="E905" s="368"/>
      <c r="F905" s="368"/>
      <c r="G905" s="368"/>
      <c r="H905" s="368"/>
      <c r="V905" s="368"/>
      <c r="W905" s="368"/>
    </row>
    <row r="906" spans="5:23" ht="42" customHeight="1">
      <c r="E906" s="368"/>
      <c r="F906" s="368"/>
      <c r="G906" s="368"/>
      <c r="H906" s="368"/>
      <c r="V906" s="368"/>
      <c r="W906" s="368"/>
    </row>
    <row r="907" spans="5:23" ht="42" customHeight="1">
      <c r="E907" s="368"/>
      <c r="F907" s="368"/>
      <c r="G907" s="368"/>
      <c r="H907" s="368"/>
      <c r="V907" s="368"/>
      <c r="W907" s="368"/>
    </row>
    <row r="908" spans="5:23" ht="42" customHeight="1">
      <c r="E908" s="368"/>
      <c r="F908" s="368"/>
      <c r="G908" s="368"/>
      <c r="H908" s="368"/>
      <c r="V908" s="368"/>
      <c r="W908" s="368"/>
    </row>
    <row r="909" spans="5:23" ht="42" customHeight="1">
      <c r="E909" s="368"/>
      <c r="F909" s="368"/>
      <c r="G909" s="368"/>
      <c r="H909" s="368"/>
      <c r="V909" s="368"/>
      <c r="W909" s="368"/>
    </row>
    <row r="910" spans="5:23" ht="42" customHeight="1">
      <c r="E910" s="368"/>
      <c r="F910" s="368"/>
      <c r="G910" s="368"/>
      <c r="H910" s="368"/>
      <c r="V910" s="368"/>
      <c r="W910" s="368"/>
    </row>
    <row r="911" spans="5:23" ht="42" customHeight="1">
      <c r="E911" s="368"/>
      <c r="F911" s="368"/>
      <c r="G911" s="368"/>
      <c r="H911" s="368"/>
      <c r="V911" s="368"/>
      <c r="W911" s="368"/>
    </row>
    <row r="912" spans="5:23" ht="42" customHeight="1">
      <c r="E912" s="368"/>
      <c r="F912" s="368"/>
      <c r="G912" s="368"/>
      <c r="H912" s="368"/>
      <c r="V912" s="368"/>
      <c r="W912" s="368"/>
    </row>
    <row r="913" spans="5:23" ht="42" customHeight="1">
      <c r="E913" s="368"/>
      <c r="F913" s="368"/>
      <c r="G913" s="368"/>
      <c r="H913" s="368"/>
      <c r="V913" s="368"/>
      <c r="W913" s="368"/>
    </row>
    <row r="914" spans="5:23" ht="42" customHeight="1">
      <c r="E914" s="368"/>
      <c r="F914" s="368"/>
      <c r="G914" s="368"/>
      <c r="H914" s="368"/>
      <c r="V914" s="368"/>
      <c r="W914" s="368"/>
    </row>
    <row r="915" spans="5:23" ht="42" customHeight="1">
      <c r="E915" s="368"/>
      <c r="F915" s="368"/>
      <c r="G915" s="368"/>
      <c r="H915" s="368"/>
      <c r="V915" s="368"/>
      <c r="W915" s="368"/>
    </row>
    <row r="916" spans="5:23" ht="42" customHeight="1">
      <c r="E916" s="368"/>
      <c r="F916" s="368"/>
      <c r="G916" s="368"/>
      <c r="H916" s="368"/>
      <c r="V916" s="368"/>
      <c r="W916" s="368"/>
    </row>
    <row r="917" spans="5:23" ht="42" customHeight="1">
      <c r="E917" s="368"/>
      <c r="F917" s="368"/>
      <c r="G917" s="368"/>
      <c r="H917" s="368"/>
      <c r="V917" s="368"/>
      <c r="W917" s="368"/>
    </row>
    <row r="918" spans="5:23" ht="42" customHeight="1">
      <c r="E918" s="368"/>
      <c r="F918" s="368"/>
      <c r="G918" s="368"/>
      <c r="H918" s="368"/>
      <c r="V918" s="368"/>
      <c r="W918" s="368"/>
    </row>
    <row r="919" spans="5:23" ht="42" customHeight="1">
      <c r="E919" s="368"/>
      <c r="F919" s="368"/>
      <c r="G919" s="368"/>
      <c r="H919" s="368"/>
      <c r="V919" s="368"/>
      <c r="W919" s="368"/>
    </row>
    <row r="920" spans="5:23" ht="42" customHeight="1">
      <c r="E920" s="368"/>
      <c r="F920" s="368"/>
      <c r="G920" s="368"/>
      <c r="H920" s="368"/>
      <c r="V920" s="368"/>
      <c r="W920" s="368"/>
    </row>
    <row r="921" spans="5:23" ht="42" customHeight="1">
      <c r="E921" s="368"/>
      <c r="F921" s="368"/>
      <c r="G921" s="368"/>
      <c r="H921" s="368"/>
      <c r="V921" s="368"/>
      <c r="W921" s="368"/>
    </row>
    <row r="922" spans="5:23" ht="42" customHeight="1">
      <c r="E922" s="368"/>
      <c r="F922" s="368"/>
      <c r="G922" s="368"/>
      <c r="H922" s="368"/>
      <c r="V922" s="368"/>
      <c r="W922" s="368"/>
    </row>
    <row r="923" spans="5:23" ht="42" customHeight="1">
      <c r="E923" s="368"/>
      <c r="F923" s="368"/>
      <c r="G923" s="368"/>
      <c r="H923" s="368"/>
      <c r="V923" s="368"/>
      <c r="W923" s="368"/>
    </row>
    <row r="924" spans="5:23" ht="42" customHeight="1">
      <c r="E924" s="368"/>
      <c r="F924" s="368"/>
      <c r="G924" s="368"/>
      <c r="H924" s="368"/>
      <c r="V924" s="368"/>
      <c r="W924" s="368"/>
    </row>
    <row r="925" spans="5:23" ht="42" customHeight="1">
      <c r="E925" s="368"/>
      <c r="F925" s="368"/>
      <c r="G925" s="368"/>
      <c r="H925" s="368"/>
      <c r="V925" s="368"/>
      <c r="W925" s="368"/>
    </row>
    <row r="926" spans="5:23" ht="42" customHeight="1">
      <c r="E926" s="368"/>
      <c r="F926" s="368"/>
      <c r="G926" s="368"/>
      <c r="H926" s="368"/>
      <c r="V926" s="368"/>
      <c r="W926" s="368"/>
    </row>
    <row r="927" spans="5:23" ht="42" customHeight="1">
      <c r="E927" s="368"/>
      <c r="F927" s="368"/>
      <c r="G927" s="368"/>
      <c r="H927" s="368"/>
      <c r="V927" s="368"/>
      <c r="W927" s="368"/>
    </row>
    <row r="928" spans="5:23" ht="42" customHeight="1">
      <c r="E928" s="368"/>
      <c r="F928" s="368"/>
      <c r="G928" s="368"/>
      <c r="H928" s="368"/>
      <c r="V928" s="368"/>
      <c r="W928" s="368"/>
    </row>
    <row r="929" spans="5:23" ht="42" customHeight="1">
      <c r="E929" s="368"/>
      <c r="F929" s="368"/>
      <c r="G929" s="368"/>
      <c r="H929" s="368"/>
      <c r="V929" s="368"/>
      <c r="W929" s="368"/>
    </row>
    <row r="930" spans="5:23" ht="42" customHeight="1">
      <c r="E930" s="368"/>
      <c r="F930" s="368"/>
      <c r="G930" s="368"/>
      <c r="H930" s="368"/>
      <c r="V930" s="368"/>
      <c r="W930" s="368"/>
    </row>
    <row r="931" spans="5:23" ht="42" customHeight="1">
      <c r="E931" s="368"/>
      <c r="F931" s="368"/>
      <c r="G931" s="368"/>
      <c r="H931" s="368"/>
      <c r="V931" s="368"/>
      <c r="W931" s="368"/>
    </row>
    <row r="932" spans="5:23" ht="42" customHeight="1">
      <c r="E932" s="368"/>
      <c r="F932" s="368"/>
      <c r="G932" s="368"/>
      <c r="H932" s="368"/>
      <c r="V932" s="368"/>
      <c r="W932" s="368"/>
    </row>
    <row r="933" spans="5:23" ht="42" customHeight="1">
      <c r="E933" s="368"/>
      <c r="F933" s="368"/>
      <c r="G933" s="368"/>
      <c r="H933" s="368"/>
      <c r="V933" s="368"/>
      <c r="W933" s="368"/>
    </row>
    <row r="934" spans="5:23" ht="42" customHeight="1">
      <c r="E934" s="368"/>
      <c r="F934" s="368"/>
      <c r="G934" s="368"/>
      <c r="H934" s="368"/>
      <c r="V934" s="368"/>
      <c r="W934" s="368"/>
    </row>
    <row r="935" spans="5:23" ht="42" customHeight="1">
      <c r="E935" s="368"/>
      <c r="F935" s="368"/>
      <c r="G935" s="368"/>
      <c r="H935" s="368"/>
      <c r="V935" s="368"/>
      <c r="W935" s="368"/>
    </row>
    <row r="936" spans="5:23" ht="42" customHeight="1">
      <c r="E936" s="368"/>
      <c r="F936" s="368"/>
      <c r="G936" s="368"/>
      <c r="H936" s="368"/>
      <c r="V936" s="368"/>
      <c r="W936" s="368"/>
    </row>
    <row r="937" spans="5:23" ht="42" customHeight="1">
      <c r="E937" s="368"/>
      <c r="F937" s="368"/>
      <c r="G937" s="368"/>
      <c r="H937" s="368"/>
      <c r="V937" s="368"/>
      <c r="W937" s="368"/>
    </row>
    <row r="938" spans="5:23" ht="42" customHeight="1">
      <c r="E938" s="368"/>
      <c r="F938" s="368"/>
      <c r="G938" s="368"/>
      <c r="H938" s="368"/>
      <c r="V938" s="368"/>
      <c r="W938" s="368"/>
    </row>
    <row r="939" spans="5:23" ht="42" customHeight="1">
      <c r="E939" s="368"/>
      <c r="F939" s="368"/>
      <c r="G939" s="368"/>
      <c r="H939" s="368"/>
      <c r="V939" s="368"/>
      <c r="W939" s="368"/>
    </row>
    <row r="940" spans="5:23" ht="42" customHeight="1">
      <c r="E940" s="368"/>
      <c r="F940" s="368"/>
      <c r="G940" s="368"/>
      <c r="H940" s="368"/>
      <c r="V940" s="368"/>
      <c r="W940" s="368"/>
    </row>
    <row r="941" spans="5:23" ht="42" customHeight="1">
      <c r="E941" s="368"/>
      <c r="F941" s="368"/>
      <c r="G941" s="368"/>
      <c r="H941" s="368"/>
      <c r="V941" s="368"/>
      <c r="W941" s="368"/>
    </row>
    <row r="942" spans="5:23" ht="42" customHeight="1">
      <c r="E942" s="368"/>
      <c r="F942" s="368"/>
      <c r="G942" s="368"/>
      <c r="H942" s="368"/>
      <c r="V942" s="368"/>
      <c r="W942" s="368"/>
    </row>
    <row r="943" spans="5:23" ht="42" customHeight="1">
      <c r="E943" s="368"/>
      <c r="F943" s="368"/>
      <c r="G943" s="368"/>
      <c r="H943" s="368"/>
      <c r="V943" s="368"/>
      <c r="W943" s="368"/>
    </row>
    <row r="944" spans="5:23" ht="42" customHeight="1">
      <c r="E944" s="368"/>
      <c r="F944" s="368"/>
      <c r="G944" s="368"/>
      <c r="H944" s="368"/>
      <c r="V944" s="368"/>
      <c r="W944" s="368"/>
    </row>
    <row r="945" spans="5:23" ht="42" customHeight="1">
      <c r="E945" s="368"/>
      <c r="F945" s="368"/>
      <c r="G945" s="368"/>
      <c r="H945" s="368"/>
      <c r="V945" s="368"/>
      <c r="W945" s="368"/>
    </row>
    <row r="946" spans="5:23" ht="42" customHeight="1">
      <c r="E946" s="368"/>
      <c r="F946" s="368"/>
      <c r="G946" s="368"/>
      <c r="H946" s="368"/>
      <c r="V946" s="368"/>
      <c r="W946" s="368"/>
    </row>
    <row r="947" spans="5:23" ht="42" customHeight="1">
      <c r="E947" s="368"/>
      <c r="F947" s="368"/>
      <c r="G947" s="368"/>
      <c r="H947" s="368"/>
      <c r="V947" s="368"/>
      <c r="W947" s="368"/>
    </row>
    <row r="948" spans="5:23" ht="42" customHeight="1">
      <c r="E948" s="368"/>
      <c r="F948" s="368"/>
      <c r="G948" s="368"/>
      <c r="H948" s="368"/>
      <c r="V948" s="368"/>
      <c r="W948" s="368"/>
    </row>
    <row r="949" spans="5:23" ht="42" customHeight="1">
      <c r="E949" s="368"/>
      <c r="F949" s="368"/>
      <c r="G949" s="368"/>
      <c r="H949" s="368"/>
      <c r="V949" s="368"/>
      <c r="W949" s="368"/>
    </row>
    <row r="950" spans="5:23" ht="42" customHeight="1">
      <c r="E950" s="368"/>
      <c r="F950" s="368"/>
      <c r="G950" s="368"/>
      <c r="H950" s="368"/>
      <c r="V950" s="368"/>
      <c r="W950" s="368"/>
    </row>
    <row r="951" spans="5:23" ht="42" customHeight="1">
      <c r="E951" s="368"/>
      <c r="F951" s="368"/>
      <c r="G951" s="368"/>
      <c r="H951" s="368"/>
      <c r="V951" s="368"/>
      <c r="W951" s="368"/>
    </row>
    <row r="952" spans="5:23" ht="42" customHeight="1">
      <c r="E952" s="368"/>
      <c r="F952" s="368"/>
      <c r="G952" s="368"/>
      <c r="H952" s="368"/>
      <c r="V952" s="368"/>
      <c r="W952" s="368"/>
    </row>
    <row r="953" spans="5:23" ht="42" customHeight="1">
      <c r="E953" s="368"/>
      <c r="F953" s="368"/>
      <c r="G953" s="368"/>
      <c r="H953" s="368"/>
      <c r="V953" s="368"/>
      <c r="W953" s="368"/>
    </row>
    <row r="954" spans="5:23" ht="42" customHeight="1">
      <c r="E954" s="368"/>
      <c r="F954" s="368"/>
      <c r="G954" s="368"/>
      <c r="H954" s="368"/>
      <c r="V954" s="368"/>
      <c r="W954" s="368"/>
    </row>
    <row r="955" spans="5:23" ht="42" customHeight="1">
      <c r="E955" s="368"/>
      <c r="F955" s="368"/>
      <c r="G955" s="368"/>
      <c r="H955" s="368"/>
      <c r="V955" s="368"/>
      <c r="W955" s="368"/>
    </row>
    <row r="956" spans="5:23" ht="42" customHeight="1">
      <c r="E956" s="368"/>
      <c r="F956" s="368"/>
      <c r="G956" s="368"/>
      <c r="H956" s="368"/>
      <c r="V956" s="368"/>
      <c r="W956" s="368"/>
    </row>
    <row r="957" spans="5:23" ht="42" customHeight="1">
      <c r="E957" s="368"/>
      <c r="F957" s="368"/>
      <c r="G957" s="368"/>
      <c r="H957" s="368"/>
      <c r="V957" s="368"/>
      <c r="W957" s="368"/>
    </row>
    <row r="958" spans="5:23" ht="42" customHeight="1">
      <c r="E958" s="368"/>
      <c r="F958" s="368"/>
      <c r="G958" s="368"/>
      <c r="H958" s="368"/>
      <c r="V958" s="368"/>
      <c r="W958" s="368"/>
    </row>
    <row r="959" spans="5:23" ht="42" customHeight="1">
      <c r="E959" s="368"/>
      <c r="F959" s="368"/>
      <c r="G959" s="368"/>
      <c r="H959" s="368"/>
      <c r="V959" s="368"/>
      <c r="W959" s="368"/>
    </row>
    <row r="960" spans="5:23" ht="42" customHeight="1">
      <c r="E960" s="368"/>
      <c r="F960" s="368"/>
      <c r="G960" s="368"/>
      <c r="H960" s="368"/>
      <c r="V960" s="368"/>
      <c r="W960" s="368"/>
    </row>
    <row r="961" spans="5:23" ht="42" customHeight="1">
      <c r="E961" s="368"/>
      <c r="F961" s="368"/>
      <c r="G961" s="368"/>
      <c r="H961" s="368"/>
      <c r="V961" s="368"/>
      <c r="W961" s="368"/>
    </row>
    <row r="962" spans="5:23" ht="42" customHeight="1">
      <c r="E962" s="368"/>
      <c r="F962" s="368"/>
      <c r="G962" s="368"/>
      <c r="H962" s="368"/>
      <c r="V962" s="368"/>
      <c r="W962" s="368"/>
    </row>
    <row r="963" spans="5:23" ht="42" customHeight="1">
      <c r="E963" s="368"/>
      <c r="F963" s="368"/>
      <c r="G963" s="368"/>
      <c r="H963" s="368"/>
      <c r="V963" s="368"/>
      <c r="W963" s="368"/>
    </row>
    <row r="964" spans="5:23" ht="42" customHeight="1">
      <c r="E964" s="368"/>
      <c r="F964" s="368"/>
      <c r="G964" s="368"/>
      <c r="H964" s="368"/>
      <c r="V964" s="368"/>
      <c r="W964" s="368"/>
    </row>
    <row r="965" spans="5:23" ht="42" customHeight="1">
      <c r="E965" s="368"/>
      <c r="F965" s="368"/>
      <c r="G965" s="368"/>
      <c r="H965" s="368"/>
      <c r="V965" s="368"/>
      <c r="W965" s="368"/>
    </row>
    <row r="966" spans="5:23" ht="42" customHeight="1">
      <c r="E966" s="368"/>
      <c r="F966" s="368"/>
      <c r="G966" s="368"/>
      <c r="H966" s="368"/>
      <c r="V966" s="368"/>
      <c r="W966" s="368"/>
    </row>
    <row r="967" spans="5:23" ht="42" customHeight="1">
      <c r="E967" s="368"/>
      <c r="F967" s="368"/>
      <c r="G967" s="368"/>
      <c r="H967" s="368"/>
      <c r="V967" s="368"/>
      <c r="W967" s="368"/>
    </row>
    <row r="968" spans="5:23" ht="42" customHeight="1">
      <c r="E968" s="368"/>
      <c r="F968" s="368"/>
      <c r="G968" s="368"/>
      <c r="H968" s="368"/>
      <c r="V968" s="368"/>
      <c r="W968" s="368"/>
    </row>
    <row r="969" spans="5:23" ht="42" customHeight="1">
      <c r="E969" s="368"/>
      <c r="F969" s="368"/>
      <c r="G969" s="368"/>
      <c r="H969" s="368"/>
      <c r="V969" s="368"/>
      <c r="W969" s="368"/>
    </row>
    <row r="970" spans="5:23" ht="42" customHeight="1">
      <c r="E970" s="368"/>
      <c r="F970" s="368"/>
      <c r="G970" s="368"/>
      <c r="H970" s="368"/>
      <c r="V970" s="368"/>
      <c r="W970" s="368"/>
    </row>
    <row r="971" spans="5:23" ht="42" customHeight="1">
      <c r="E971" s="368"/>
      <c r="F971" s="368"/>
      <c r="G971" s="368"/>
      <c r="H971" s="368"/>
      <c r="V971" s="368"/>
      <c r="W971" s="368"/>
    </row>
    <row r="972" spans="5:23" ht="42" customHeight="1">
      <c r="E972" s="368"/>
      <c r="F972" s="368"/>
      <c r="G972" s="368"/>
      <c r="H972" s="368"/>
      <c r="V972" s="368"/>
      <c r="W972" s="368"/>
    </row>
    <row r="973" spans="5:23" ht="42" customHeight="1">
      <c r="E973" s="368"/>
      <c r="F973" s="368"/>
      <c r="G973" s="368"/>
      <c r="H973" s="368"/>
      <c r="V973" s="368"/>
      <c r="W973" s="368"/>
    </row>
    <row r="974" spans="5:23" ht="42" customHeight="1">
      <c r="E974" s="368"/>
      <c r="F974" s="368"/>
      <c r="G974" s="368"/>
      <c r="H974" s="368"/>
      <c r="V974" s="368"/>
      <c r="W974" s="368"/>
    </row>
    <row r="975" spans="5:23" ht="42" customHeight="1">
      <c r="E975" s="368"/>
      <c r="F975" s="368"/>
      <c r="G975" s="368"/>
      <c r="H975" s="368"/>
      <c r="V975" s="368"/>
      <c r="W975" s="368"/>
    </row>
    <row r="976" spans="5:23" ht="42" customHeight="1">
      <c r="E976" s="368"/>
      <c r="F976" s="368"/>
      <c r="G976" s="368"/>
      <c r="H976" s="368"/>
      <c r="V976" s="368"/>
      <c r="W976" s="368"/>
    </row>
    <row r="977" spans="5:23" ht="42" customHeight="1">
      <c r="E977" s="368"/>
      <c r="F977" s="368"/>
      <c r="G977" s="368"/>
      <c r="H977" s="368"/>
      <c r="V977" s="368"/>
      <c r="W977" s="368"/>
    </row>
    <row r="978" spans="5:23" ht="42" customHeight="1">
      <c r="E978" s="368"/>
      <c r="F978" s="368"/>
      <c r="G978" s="368"/>
      <c r="H978" s="368"/>
      <c r="V978" s="368"/>
      <c r="W978" s="368"/>
    </row>
    <row r="979" spans="5:23" ht="42" customHeight="1">
      <c r="E979" s="368"/>
      <c r="F979" s="368"/>
      <c r="G979" s="368"/>
      <c r="H979" s="368"/>
      <c r="V979" s="368"/>
      <c r="W979" s="368"/>
    </row>
    <row r="980" spans="5:23" ht="42" customHeight="1">
      <c r="E980" s="368"/>
      <c r="F980" s="368"/>
      <c r="G980" s="368"/>
      <c r="H980" s="368"/>
      <c r="V980" s="368"/>
      <c r="W980" s="368"/>
    </row>
    <row r="981" spans="5:23" ht="42" customHeight="1">
      <c r="E981" s="368"/>
      <c r="F981" s="368"/>
      <c r="G981" s="368"/>
      <c r="H981" s="368"/>
      <c r="V981" s="368"/>
      <c r="W981" s="368"/>
    </row>
    <row r="982" spans="5:23" ht="42" customHeight="1">
      <c r="E982" s="368"/>
      <c r="F982" s="368"/>
      <c r="G982" s="368"/>
      <c r="H982" s="368"/>
      <c r="V982" s="368"/>
      <c r="W982" s="368"/>
    </row>
    <row r="983" spans="5:23" ht="42" customHeight="1">
      <c r="E983" s="368"/>
      <c r="F983" s="368"/>
      <c r="G983" s="368"/>
      <c r="H983" s="368"/>
      <c r="V983" s="368"/>
      <c r="W983" s="368"/>
    </row>
    <row r="984" spans="5:23" ht="42" customHeight="1">
      <c r="E984" s="368"/>
      <c r="F984" s="368"/>
      <c r="G984" s="368"/>
      <c r="H984" s="368"/>
      <c r="V984" s="368"/>
      <c r="W984" s="368"/>
    </row>
    <row r="985" spans="5:23" ht="42" customHeight="1">
      <c r="E985" s="368"/>
      <c r="F985" s="368"/>
      <c r="G985" s="368"/>
      <c r="H985" s="368"/>
      <c r="V985" s="368"/>
      <c r="W985" s="368"/>
    </row>
    <row r="986" spans="5:23" ht="42" customHeight="1">
      <c r="E986" s="368"/>
      <c r="F986" s="368"/>
      <c r="G986" s="368"/>
      <c r="H986" s="368"/>
      <c r="V986" s="368"/>
      <c r="W986" s="368"/>
    </row>
    <row r="987" spans="5:23" ht="42" customHeight="1">
      <c r="E987" s="368"/>
      <c r="F987" s="368"/>
      <c r="G987" s="368"/>
      <c r="H987" s="368"/>
      <c r="V987" s="368"/>
      <c r="W987" s="368"/>
    </row>
    <row r="988" spans="5:23" ht="42" customHeight="1">
      <c r="E988" s="368"/>
      <c r="F988" s="368"/>
      <c r="G988" s="368"/>
      <c r="H988" s="368"/>
      <c r="V988" s="368"/>
      <c r="W988" s="368"/>
    </row>
    <row r="989" spans="5:23" ht="42" customHeight="1">
      <c r="E989" s="368"/>
      <c r="F989" s="368"/>
      <c r="G989" s="368"/>
      <c r="H989" s="368"/>
      <c r="V989" s="368"/>
      <c r="W989" s="368"/>
    </row>
    <row r="990" spans="5:23" ht="42" customHeight="1">
      <c r="E990" s="368"/>
      <c r="F990" s="368"/>
      <c r="G990" s="368"/>
      <c r="H990" s="368"/>
      <c r="V990" s="368"/>
      <c r="W990" s="368"/>
    </row>
    <row r="991" spans="5:23" ht="42" customHeight="1">
      <c r="E991" s="368"/>
      <c r="F991" s="368"/>
      <c r="G991" s="368"/>
      <c r="H991" s="368"/>
      <c r="V991" s="368"/>
      <c r="W991" s="368"/>
    </row>
    <row r="992" spans="5:23" ht="42" customHeight="1">
      <c r="E992" s="368"/>
      <c r="F992" s="368"/>
      <c r="G992" s="368"/>
      <c r="H992" s="368"/>
      <c r="V992" s="368"/>
      <c r="W992" s="368"/>
    </row>
    <row r="993" spans="5:23" ht="42" customHeight="1">
      <c r="E993" s="368"/>
      <c r="F993" s="368"/>
      <c r="G993" s="368"/>
      <c r="H993" s="368"/>
      <c r="V993" s="368"/>
      <c r="W993" s="368"/>
    </row>
    <row r="994" spans="5:23" ht="42" customHeight="1">
      <c r="E994" s="368"/>
      <c r="F994" s="368"/>
      <c r="G994" s="368"/>
      <c r="H994" s="368"/>
      <c r="V994" s="368"/>
      <c r="W994" s="368"/>
    </row>
    <row r="995" spans="5:23" ht="42" customHeight="1">
      <c r="E995" s="368"/>
      <c r="F995" s="368"/>
      <c r="G995" s="368"/>
      <c r="H995" s="368"/>
      <c r="V995" s="368"/>
      <c r="W995" s="368"/>
    </row>
    <row r="996" spans="5:23" ht="42" customHeight="1">
      <c r="E996" s="368"/>
      <c r="F996" s="368"/>
      <c r="G996" s="368"/>
      <c r="H996" s="368"/>
      <c r="V996" s="368"/>
      <c r="W996" s="368"/>
    </row>
    <row r="997" spans="5:23" ht="42" customHeight="1">
      <c r="E997" s="368"/>
      <c r="F997" s="368"/>
      <c r="G997" s="368"/>
      <c r="H997" s="368"/>
      <c r="V997" s="368"/>
      <c r="W997" s="368"/>
    </row>
    <row r="998" spans="5:23" ht="42" customHeight="1">
      <c r="E998" s="368"/>
      <c r="F998" s="368"/>
      <c r="G998" s="368"/>
      <c r="H998" s="368"/>
      <c r="V998" s="368"/>
      <c r="W998" s="368"/>
    </row>
    <row r="999" spans="5:23" ht="42" customHeight="1">
      <c r="E999" s="368"/>
      <c r="F999" s="368"/>
      <c r="G999" s="368"/>
      <c r="H999" s="368"/>
      <c r="V999" s="368"/>
      <c r="W999" s="368"/>
    </row>
    <row r="1000" spans="5:23" ht="42" customHeight="1">
      <c r="E1000" s="368"/>
      <c r="F1000" s="368"/>
      <c r="G1000" s="368"/>
      <c r="H1000" s="368"/>
      <c r="V1000" s="368"/>
      <c r="W1000" s="368"/>
    </row>
    <row r="1001" spans="5:23" ht="42" customHeight="1">
      <c r="E1001" s="368"/>
      <c r="F1001" s="368"/>
      <c r="G1001" s="368"/>
      <c r="H1001" s="368"/>
      <c r="V1001" s="368"/>
      <c r="W1001" s="368"/>
    </row>
    <row r="1002" spans="5:23" ht="42" customHeight="1">
      <c r="E1002" s="368"/>
      <c r="F1002" s="368"/>
      <c r="G1002" s="368"/>
      <c r="H1002" s="368"/>
      <c r="V1002" s="368"/>
      <c r="W1002" s="368"/>
    </row>
    <row r="1003" spans="5:23" ht="42" customHeight="1">
      <c r="E1003" s="368"/>
      <c r="F1003" s="368"/>
      <c r="G1003" s="368"/>
      <c r="H1003" s="368"/>
      <c r="V1003" s="368"/>
      <c r="W1003" s="368"/>
    </row>
    <row r="1004" spans="5:23" ht="42" customHeight="1">
      <c r="E1004" s="368"/>
      <c r="F1004" s="368"/>
      <c r="G1004" s="368"/>
      <c r="H1004" s="368"/>
      <c r="V1004" s="368"/>
      <c r="W1004" s="368"/>
    </row>
    <row r="1005" spans="5:23" ht="42" customHeight="1">
      <c r="E1005" s="368"/>
      <c r="F1005" s="368"/>
      <c r="G1005" s="368"/>
      <c r="H1005" s="368"/>
      <c r="V1005" s="368"/>
      <c r="W1005" s="368"/>
    </row>
    <row r="1006" spans="5:23" ht="42" customHeight="1">
      <c r="E1006" s="368"/>
      <c r="F1006" s="368"/>
      <c r="G1006" s="368"/>
      <c r="H1006" s="368"/>
      <c r="V1006" s="368"/>
      <c r="W1006" s="368"/>
    </row>
    <row r="1007" spans="5:23" ht="42" customHeight="1">
      <c r="E1007" s="368"/>
      <c r="F1007" s="368"/>
      <c r="G1007" s="368"/>
      <c r="H1007" s="368"/>
      <c r="V1007" s="368"/>
      <c r="W1007" s="368"/>
    </row>
    <row r="1008" spans="5:23" ht="42" customHeight="1">
      <c r="E1008" s="368"/>
      <c r="F1008" s="368"/>
      <c r="G1008" s="368"/>
      <c r="H1008" s="368"/>
      <c r="V1008" s="368"/>
      <c r="W1008" s="368"/>
    </row>
    <row r="1009" spans="5:23" ht="42" customHeight="1">
      <c r="E1009" s="368"/>
      <c r="F1009" s="368"/>
      <c r="G1009" s="368"/>
      <c r="H1009" s="368"/>
      <c r="V1009" s="368"/>
      <c r="W1009" s="368"/>
    </row>
    <row r="1010" spans="5:23" ht="42" customHeight="1">
      <c r="E1010" s="368"/>
      <c r="F1010" s="368"/>
      <c r="G1010" s="368"/>
      <c r="H1010" s="368"/>
      <c r="V1010" s="368"/>
      <c r="W1010" s="368"/>
    </row>
    <row r="1011" spans="5:23" ht="42" customHeight="1">
      <c r="E1011" s="368"/>
      <c r="F1011" s="368"/>
      <c r="G1011" s="368"/>
      <c r="H1011" s="368"/>
      <c r="V1011" s="368"/>
      <c r="W1011" s="368"/>
    </row>
    <row r="1012" spans="5:23" ht="42" customHeight="1">
      <c r="E1012" s="368"/>
      <c r="F1012" s="368"/>
      <c r="G1012" s="368"/>
      <c r="H1012" s="368"/>
      <c r="V1012" s="368"/>
      <c r="W1012" s="368"/>
    </row>
    <row r="1013" spans="5:23" ht="42" customHeight="1">
      <c r="E1013" s="368"/>
      <c r="F1013" s="368"/>
      <c r="G1013" s="368"/>
      <c r="H1013" s="368"/>
      <c r="V1013" s="368"/>
      <c r="W1013" s="368"/>
    </row>
    <row r="1014" spans="5:23" ht="42" customHeight="1">
      <c r="E1014" s="368"/>
      <c r="F1014" s="368"/>
      <c r="G1014" s="368"/>
      <c r="H1014" s="368"/>
      <c r="V1014" s="368"/>
      <c r="W1014" s="368"/>
    </row>
    <row r="1015" spans="5:23" ht="42" customHeight="1">
      <c r="E1015" s="368"/>
      <c r="F1015" s="368"/>
      <c r="G1015" s="368"/>
      <c r="H1015" s="368"/>
      <c r="V1015" s="368"/>
      <c r="W1015" s="368"/>
    </row>
    <row r="1016" spans="5:23" ht="42" customHeight="1">
      <c r="E1016" s="368"/>
      <c r="F1016" s="368"/>
      <c r="G1016" s="368"/>
      <c r="H1016" s="368"/>
      <c r="V1016" s="368"/>
      <c r="W1016" s="368"/>
    </row>
    <row r="1017" spans="5:23" ht="42" customHeight="1">
      <c r="E1017" s="368"/>
      <c r="F1017" s="368"/>
      <c r="G1017" s="368"/>
      <c r="H1017" s="368"/>
      <c r="V1017" s="368"/>
      <c r="W1017" s="368"/>
    </row>
    <row r="1018" spans="5:23" ht="42" customHeight="1">
      <c r="E1018" s="368"/>
      <c r="F1018" s="368"/>
      <c r="G1018" s="368"/>
      <c r="H1018" s="368"/>
      <c r="V1018" s="368"/>
      <c r="W1018" s="368"/>
    </row>
    <row r="1019" spans="5:23" ht="42" customHeight="1">
      <c r="E1019" s="368"/>
      <c r="F1019" s="368"/>
      <c r="G1019" s="368"/>
      <c r="H1019" s="368"/>
      <c r="V1019" s="368"/>
      <c r="W1019" s="368"/>
    </row>
    <row r="1020" spans="5:23" ht="42" customHeight="1">
      <c r="E1020" s="368"/>
      <c r="F1020" s="368"/>
      <c r="G1020" s="368"/>
      <c r="H1020" s="368"/>
      <c r="V1020" s="368"/>
      <c r="W1020" s="368"/>
    </row>
    <row r="1021" spans="5:23" ht="42" customHeight="1">
      <c r="E1021" s="368"/>
      <c r="F1021" s="368"/>
      <c r="G1021" s="368"/>
      <c r="H1021" s="368"/>
      <c r="V1021" s="368"/>
      <c r="W1021" s="368"/>
    </row>
    <row r="1022" spans="5:23" ht="42" customHeight="1">
      <c r="E1022" s="368"/>
      <c r="F1022" s="368"/>
      <c r="G1022" s="368"/>
      <c r="H1022" s="368"/>
      <c r="V1022" s="368"/>
      <c r="W1022" s="368"/>
    </row>
    <row r="1023" spans="5:23" ht="42" customHeight="1">
      <c r="E1023" s="368"/>
      <c r="F1023" s="368"/>
      <c r="G1023" s="368"/>
      <c r="H1023" s="368"/>
      <c r="V1023" s="368"/>
      <c r="W1023" s="368"/>
    </row>
    <row r="1024" spans="5:23" ht="42" customHeight="1">
      <c r="E1024" s="368"/>
      <c r="F1024" s="368"/>
      <c r="G1024" s="368"/>
      <c r="H1024" s="368"/>
      <c r="V1024" s="368"/>
      <c r="W1024" s="368"/>
    </row>
    <row r="1025" spans="5:23" ht="42" customHeight="1">
      <c r="E1025" s="368"/>
      <c r="F1025" s="368"/>
      <c r="G1025" s="368"/>
      <c r="H1025" s="368"/>
      <c r="V1025" s="368"/>
      <c r="W1025" s="368"/>
    </row>
    <row r="1026" spans="5:23" ht="42" customHeight="1">
      <c r="E1026" s="368"/>
      <c r="F1026" s="368"/>
      <c r="G1026" s="368"/>
      <c r="H1026" s="368"/>
      <c r="V1026" s="368"/>
      <c r="W1026" s="368"/>
    </row>
    <row r="1027" spans="5:23" ht="42" customHeight="1">
      <c r="E1027" s="368"/>
      <c r="F1027" s="368"/>
      <c r="G1027" s="368"/>
      <c r="H1027" s="368"/>
      <c r="V1027" s="368"/>
      <c r="W1027" s="368"/>
    </row>
    <row r="1028" spans="5:23" ht="42" customHeight="1">
      <c r="E1028" s="368"/>
      <c r="F1028" s="368"/>
      <c r="G1028" s="368"/>
      <c r="H1028" s="368"/>
      <c r="V1028" s="368"/>
      <c r="W1028" s="368"/>
    </row>
    <row r="1029" spans="5:23" ht="42" customHeight="1">
      <c r="E1029" s="368"/>
      <c r="F1029" s="368"/>
      <c r="G1029" s="368"/>
      <c r="H1029" s="368"/>
      <c r="V1029" s="368"/>
      <c r="W1029" s="368"/>
    </row>
    <row r="1030" spans="5:23" ht="42" customHeight="1">
      <c r="E1030" s="368"/>
      <c r="F1030" s="368"/>
      <c r="G1030" s="368"/>
      <c r="H1030" s="368"/>
      <c r="V1030" s="368"/>
      <c r="W1030" s="368"/>
    </row>
    <row r="1031" spans="5:23" ht="42" customHeight="1">
      <c r="E1031" s="368"/>
      <c r="F1031" s="368"/>
      <c r="G1031" s="368"/>
      <c r="H1031" s="368"/>
      <c r="V1031" s="368"/>
      <c r="W1031" s="368"/>
    </row>
    <row r="1032" spans="5:23" ht="42" customHeight="1">
      <c r="E1032" s="368"/>
      <c r="F1032" s="368"/>
      <c r="G1032" s="368"/>
      <c r="H1032" s="368"/>
      <c r="V1032" s="368"/>
      <c r="W1032" s="368"/>
    </row>
    <row r="1033" spans="5:23" ht="42" customHeight="1">
      <c r="E1033" s="368"/>
      <c r="F1033" s="368"/>
      <c r="G1033" s="368"/>
      <c r="H1033" s="368"/>
      <c r="V1033" s="368"/>
      <c r="W1033" s="368"/>
    </row>
    <row r="1034" spans="5:23" ht="42" customHeight="1">
      <c r="E1034" s="368"/>
      <c r="F1034" s="368"/>
      <c r="G1034" s="368"/>
      <c r="H1034" s="368"/>
      <c r="V1034" s="368"/>
      <c r="W1034" s="368"/>
    </row>
    <row r="1035" spans="5:23" ht="42" customHeight="1">
      <c r="E1035" s="368"/>
      <c r="F1035" s="368"/>
      <c r="G1035" s="368"/>
      <c r="H1035" s="368"/>
      <c r="V1035" s="368"/>
      <c r="W1035" s="368"/>
    </row>
    <row r="1036" spans="5:23" ht="42" customHeight="1">
      <c r="E1036" s="368"/>
      <c r="F1036" s="368"/>
      <c r="G1036" s="368"/>
      <c r="H1036" s="368"/>
      <c r="V1036" s="368"/>
      <c r="W1036" s="368"/>
    </row>
    <row r="1037" spans="5:23" ht="42" customHeight="1">
      <c r="E1037" s="368"/>
      <c r="F1037" s="368"/>
      <c r="G1037" s="368"/>
      <c r="H1037" s="368"/>
      <c r="V1037" s="368"/>
      <c r="W1037" s="368"/>
    </row>
    <row r="1038" spans="5:23" ht="42" customHeight="1">
      <c r="E1038" s="368"/>
      <c r="F1038" s="368"/>
      <c r="G1038" s="368"/>
      <c r="H1038" s="368"/>
      <c r="V1038" s="368"/>
      <c r="W1038" s="368"/>
    </row>
    <row r="1039" spans="5:23" ht="42" customHeight="1">
      <c r="E1039" s="368"/>
      <c r="F1039" s="368"/>
      <c r="G1039" s="368"/>
      <c r="H1039" s="368"/>
      <c r="V1039" s="368"/>
      <c r="W1039" s="368"/>
    </row>
    <row r="1040" spans="5:23" ht="42" customHeight="1">
      <c r="E1040" s="368"/>
      <c r="F1040" s="368"/>
      <c r="G1040" s="368"/>
      <c r="H1040" s="368"/>
      <c r="V1040" s="368"/>
      <c r="W1040" s="368"/>
    </row>
    <row r="1041" spans="5:23" ht="42" customHeight="1">
      <c r="E1041" s="368"/>
      <c r="F1041" s="368"/>
      <c r="G1041" s="368"/>
      <c r="H1041" s="368"/>
      <c r="V1041" s="368"/>
      <c r="W1041" s="368"/>
    </row>
    <row r="1042" spans="5:23" ht="42" customHeight="1">
      <c r="E1042" s="368"/>
      <c r="F1042" s="368"/>
      <c r="G1042" s="368"/>
      <c r="H1042" s="368"/>
      <c r="V1042" s="368"/>
      <c r="W1042" s="368"/>
    </row>
    <row r="1043" spans="5:23" ht="42" customHeight="1">
      <c r="E1043" s="368"/>
      <c r="F1043" s="368"/>
      <c r="G1043" s="368"/>
      <c r="H1043" s="368"/>
      <c r="V1043" s="368"/>
      <c r="W1043" s="368"/>
    </row>
    <row r="1044" spans="5:23" ht="42" customHeight="1">
      <c r="E1044" s="368"/>
      <c r="F1044" s="368"/>
      <c r="G1044" s="368"/>
      <c r="H1044" s="368"/>
      <c r="V1044" s="368"/>
      <c r="W1044" s="368"/>
    </row>
    <row r="1045" spans="5:23" ht="42" customHeight="1">
      <c r="E1045" s="368"/>
      <c r="F1045" s="368"/>
      <c r="G1045" s="368"/>
      <c r="H1045" s="368"/>
      <c r="V1045" s="368"/>
      <c r="W1045" s="368"/>
    </row>
    <row r="1046" spans="5:23" ht="42" customHeight="1">
      <c r="E1046" s="368"/>
      <c r="F1046" s="368"/>
      <c r="G1046" s="368"/>
      <c r="H1046" s="368"/>
      <c r="V1046" s="368"/>
      <c r="W1046" s="368"/>
    </row>
    <row r="1047" spans="5:23" ht="42" customHeight="1">
      <c r="E1047" s="368"/>
      <c r="F1047" s="368"/>
      <c r="G1047" s="368"/>
      <c r="H1047" s="368"/>
      <c r="V1047" s="368"/>
      <c r="W1047" s="368"/>
    </row>
    <row r="1048" spans="5:23" ht="42" customHeight="1">
      <c r="E1048" s="368"/>
      <c r="F1048" s="368"/>
      <c r="G1048" s="368"/>
      <c r="H1048" s="368"/>
      <c r="V1048" s="368"/>
      <c r="W1048" s="368"/>
    </row>
    <row r="1049" spans="5:23" ht="42" customHeight="1">
      <c r="E1049" s="368"/>
      <c r="F1049" s="368"/>
      <c r="G1049" s="368"/>
      <c r="H1049" s="368"/>
      <c r="V1049" s="368"/>
      <c r="W1049" s="368"/>
    </row>
    <row r="1050" spans="5:23" ht="42" customHeight="1">
      <c r="E1050" s="368"/>
      <c r="F1050" s="368"/>
      <c r="G1050" s="368"/>
      <c r="H1050" s="368"/>
      <c r="V1050" s="368"/>
      <c r="W1050" s="368"/>
    </row>
    <row r="1051" spans="5:23" ht="42" customHeight="1">
      <c r="E1051" s="368"/>
      <c r="F1051" s="368"/>
      <c r="G1051" s="368"/>
      <c r="H1051" s="368"/>
      <c r="V1051" s="368"/>
      <c r="W1051" s="368"/>
    </row>
    <row r="1052" spans="5:23" ht="42" customHeight="1">
      <c r="E1052" s="368"/>
      <c r="F1052" s="368"/>
      <c r="G1052" s="368"/>
      <c r="H1052" s="368"/>
      <c r="V1052" s="368"/>
      <c r="W1052" s="368"/>
    </row>
    <row r="1053" spans="5:23" ht="42" customHeight="1">
      <c r="E1053" s="368"/>
      <c r="F1053" s="368"/>
      <c r="G1053" s="368"/>
      <c r="H1053" s="368"/>
      <c r="V1053" s="368"/>
      <c r="W1053" s="368"/>
    </row>
    <row r="1054" spans="5:23" ht="42" customHeight="1">
      <c r="E1054" s="368"/>
      <c r="F1054" s="368"/>
      <c r="G1054" s="368"/>
      <c r="H1054" s="368"/>
      <c r="V1054" s="368"/>
      <c r="W1054" s="368"/>
    </row>
    <row r="1055" spans="5:23" ht="42" customHeight="1">
      <c r="E1055" s="368"/>
      <c r="F1055" s="368"/>
      <c r="G1055" s="368"/>
      <c r="H1055" s="368"/>
      <c r="V1055" s="368"/>
      <c r="W1055" s="368"/>
    </row>
    <row r="1056" spans="5:23" ht="42" customHeight="1">
      <c r="E1056" s="368"/>
      <c r="F1056" s="368"/>
      <c r="G1056" s="368"/>
      <c r="H1056" s="368"/>
      <c r="V1056" s="368"/>
      <c r="W1056" s="368"/>
    </row>
    <row r="1057" spans="5:23" ht="42" customHeight="1">
      <c r="E1057" s="368"/>
      <c r="F1057" s="368"/>
      <c r="G1057" s="368"/>
      <c r="H1057" s="368"/>
      <c r="V1057" s="368"/>
      <c r="W1057" s="368"/>
    </row>
    <row r="1058" spans="5:23" ht="42" customHeight="1">
      <c r="E1058" s="368"/>
      <c r="F1058" s="368"/>
      <c r="G1058" s="368"/>
      <c r="H1058" s="368"/>
      <c r="V1058" s="368"/>
      <c r="W1058" s="368"/>
    </row>
    <row r="1059" spans="5:23" ht="42" customHeight="1">
      <c r="E1059" s="368"/>
      <c r="F1059" s="368"/>
      <c r="G1059" s="368"/>
      <c r="H1059" s="368"/>
      <c r="V1059" s="368"/>
      <c r="W1059" s="368"/>
    </row>
    <row r="1060" spans="5:23" ht="42" customHeight="1">
      <c r="E1060" s="368"/>
      <c r="F1060" s="368"/>
      <c r="G1060" s="368"/>
      <c r="H1060" s="368"/>
      <c r="V1060" s="368"/>
      <c r="W1060" s="368"/>
    </row>
    <row r="1061" spans="5:23" ht="42" customHeight="1">
      <c r="E1061" s="368"/>
      <c r="F1061" s="368"/>
      <c r="G1061" s="368"/>
      <c r="H1061" s="368"/>
      <c r="V1061" s="368"/>
      <c r="W1061" s="368"/>
    </row>
    <row r="1062" spans="5:23" ht="42" customHeight="1">
      <c r="E1062" s="368"/>
      <c r="F1062" s="368"/>
      <c r="G1062" s="368"/>
      <c r="H1062" s="368"/>
      <c r="V1062" s="368"/>
      <c r="W1062" s="368"/>
    </row>
    <row r="1063" spans="5:23" ht="42" customHeight="1">
      <c r="E1063" s="368"/>
      <c r="F1063" s="368"/>
      <c r="G1063" s="368"/>
      <c r="H1063" s="368"/>
      <c r="V1063" s="368"/>
      <c r="W1063" s="368"/>
    </row>
    <row r="1064" spans="5:23" ht="42" customHeight="1">
      <c r="E1064" s="368"/>
      <c r="F1064" s="368"/>
      <c r="G1064" s="368"/>
      <c r="H1064" s="368"/>
      <c r="V1064" s="368"/>
      <c r="W1064" s="368"/>
    </row>
    <row r="1065" spans="5:23" ht="42" customHeight="1">
      <c r="E1065" s="368"/>
      <c r="F1065" s="368"/>
      <c r="G1065" s="368"/>
      <c r="H1065" s="368"/>
      <c r="V1065" s="368"/>
      <c r="W1065" s="368"/>
    </row>
    <row r="1066" spans="5:23" ht="42" customHeight="1">
      <c r="E1066" s="368"/>
      <c r="F1066" s="368"/>
      <c r="G1066" s="368"/>
      <c r="H1066" s="368"/>
      <c r="V1066" s="368"/>
      <c r="W1066" s="368"/>
    </row>
    <row r="1067" spans="5:23" ht="42" customHeight="1">
      <c r="E1067" s="368"/>
      <c r="F1067" s="368"/>
      <c r="G1067" s="368"/>
      <c r="H1067" s="368"/>
      <c r="V1067" s="368"/>
      <c r="W1067" s="368"/>
    </row>
    <row r="1068" spans="5:23" ht="42" customHeight="1">
      <c r="E1068" s="368"/>
      <c r="F1068" s="368"/>
      <c r="G1068" s="368"/>
      <c r="H1068" s="368"/>
      <c r="V1068" s="368"/>
      <c r="W1068" s="368"/>
    </row>
    <row r="1069" spans="5:23" ht="42" customHeight="1">
      <c r="E1069" s="368"/>
      <c r="F1069" s="368"/>
      <c r="G1069" s="368"/>
      <c r="H1069" s="368"/>
      <c r="V1069" s="368"/>
      <c r="W1069" s="368"/>
    </row>
    <row r="1070" spans="5:23" ht="42" customHeight="1">
      <c r="E1070" s="368"/>
      <c r="F1070" s="368"/>
      <c r="G1070" s="368"/>
      <c r="H1070" s="368"/>
      <c r="V1070" s="368"/>
      <c r="W1070" s="368"/>
    </row>
    <row r="1071" spans="5:23" ht="42" customHeight="1">
      <c r="E1071" s="368"/>
      <c r="F1071" s="368"/>
      <c r="G1071" s="368"/>
      <c r="H1071" s="368"/>
      <c r="V1071" s="368"/>
      <c r="W1071" s="368"/>
    </row>
    <row r="1072" spans="5:23" ht="42" customHeight="1">
      <c r="E1072" s="368"/>
      <c r="F1072" s="368"/>
      <c r="G1072" s="368"/>
      <c r="H1072" s="368"/>
      <c r="V1072" s="368"/>
      <c r="W1072" s="368"/>
    </row>
    <row r="1073" spans="5:23" ht="42" customHeight="1">
      <c r="E1073" s="368"/>
      <c r="F1073" s="368"/>
      <c r="G1073" s="368"/>
      <c r="H1073" s="368"/>
      <c r="V1073" s="368"/>
      <c r="W1073" s="368"/>
    </row>
    <row r="1074" spans="5:23" ht="42" customHeight="1">
      <c r="E1074" s="368"/>
      <c r="F1074" s="368"/>
      <c r="G1074" s="368"/>
      <c r="H1074" s="368"/>
      <c r="V1074" s="368"/>
      <c r="W1074" s="368"/>
    </row>
    <row r="1075" spans="5:23" ht="42" customHeight="1">
      <c r="E1075" s="368"/>
      <c r="F1075" s="368"/>
      <c r="G1075" s="368"/>
      <c r="H1075" s="368"/>
      <c r="V1075" s="368"/>
      <c r="W1075" s="368"/>
    </row>
    <row r="1076" spans="5:23" ht="42" customHeight="1">
      <c r="E1076" s="368"/>
      <c r="F1076" s="368"/>
      <c r="G1076" s="368"/>
      <c r="H1076" s="368"/>
      <c r="V1076" s="368"/>
      <c r="W1076" s="368"/>
    </row>
    <row r="1077" spans="5:23" ht="42" customHeight="1">
      <c r="E1077" s="368"/>
      <c r="F1077" s="368"/>
      <c r="G1077" s="368"/>
      <c r="H1077" s="368"/>
      <c r="V1077" s="368"/>
      <c r="W1077" s="368"/>
    </row>
    <row r="1078" spans="5:23" ht="42" customHeight="1">
      <c r="E1078" s="368"/>
      <c r="F1078" s="368"/>
      <c r="G1078" s="368"/>
      <c r="H1078" s="368"/>
      <c r="V1078" s="368"/>
      <c r="W1078" s="368"/>
    </row>
    <row r="1079" spans="5:23" ht="42" customHeight="1">
      <c r="E1079" s="368"/>
      <c r="F1079" s="368"/>
      <c r="G1079" s="368"/>
      <c r="H1079" s="368"/>
      <c r="V1079" s="368"/>
      <c r="W1079" s="368"/>
    </row>
    <row r="1080" spans="5:23" ht="42" customHeight="1">
      <c r="E1080" s="368"/>
      <c r="F1080" s="368"/>
      <c r="G1080" s="368"/>
      <c r="H1080" s="368"/>
      <c r="V1080" s="368"/>
      <c r="W1080" s="368"/>
    </row>
    <row r="1081" spans="5:23" ht="42" customHeight="1">
      <c r="E1081" s="368"/>
      <c r="F1081" s="368"/>
      <c r="G1081" s="368"/>
      <c r="H1081" s="368"/>
      <c r="V1081" s="368"/>
      <c r="W1081" s="368"/>
    </row>
    <row r="1082" spans="5:23" ht="42" customHeight="1">
      <c r="E1082" s="368"/>
      <c r="F1082" s="368"/>
      <c r="G1082" s="368"/>
      <c r="H1082" s="368"/>
      <c r="V1082" s="368"/>
      <c r="W1082" s="368"/>
    </row>
    <row r="1083" spans="5:23" ht="42" customHeight="1">
      <c r="E1083" s="368"/>
      <c r="F1083" s="368"/>
      <c r="G1083" s="368"/>
      <c r="H1083" s="368"/>
      <c r="V1083" s="368"/>
      <c r="W1083" s="368"/>
    </row>
    <row r="1084" spans="5:23" ht="42" customHeight="1">
      <c r="E1084" s="368"/>
      <c r="F1084" s="368"/>
      <c r="G1084" s="368"/>
      <c r="H1084" s="368"/>
      <c r="V1084" s="368"/>
      <c r="W1084" s="368"/>
    </row>
    <row r="1085" spans="5:23" ht="42" customHeight="1">
      <c r="E1085" s="368"/>
      <c r="F1085" s="368"/>
      <c r="G1085" s="368"/>
      <c r="H1085" s="368"/>
      <c r="V1085" s="368"/>
      <c r="W1085" s="368"/>
    </row>
    <row r="1086" spans="5:23" ht="42" customHeight="1">
      <c r="E1086" s="368"/>
      <c r="F1086" s="368"/>
      <c r="G1086" s="368"/>
      <c r="H1086" s="368"/>
      <c r="V1086" s="368"/>
      <c r="W1086" s="368"/>
    </row>
    <row r="1087" spans="5:23" ht="42" customHeight="1">
      <c r="E1087" s="368"/>
      <c r="F1087" s="368"/>
      <c r="G1087" s="368"/>
      <c r="H1087" s="368"/>
      <c r="V1087" s="368"/>
      <c r="W1087" s="368"/>
    </row>
    <row r="1088" spans="5:23" ht="42" customHeight="1">
      <c r="E1088" s="368"/>
      <c r="F1088" s="368"/>
      <c r="G1088" s="368"/>
      <c r="H1088" s="368"/>
      <c r="V1088" s="368"/>
      <c r="W1088" s="368"/>
    </row>
    <row r="1089" spans="5:23" ht="42" customHeight="1">
      <c r="E1089" s="368"/>
      <c r="F1089" s="368"/>
      <c r="G1089" s="368"/>
      <c r="H1089" s="368"/>
      <c r="V1089" s="368"/>
      <c r="W1089" s="368"/>
    </row>
    <row r="1090" spans="5:23" ht="42" customHeight="1">
      <c r="E1090" s="368"/>
      <c r="F1090" s="368"/>
      <c r="G1090" s="368"/>
      <c r="H1090" s="368"/>
      <c r="V1090" s="368"/>
      <c r="W1090" s="368"/>
    </row>
    <row r="1091" spans="5:23" ht="42" customHeight="1">
      <c r="E1091" s="368"/>
      <c r="F1091" s="368"/>
      <c r="G1091" s="368"/>
      <c r="H1091" s="368"/>
      <c r="V1091" s="368"/>
      <c r="W1091" s="368"/>
    </row>
    <row r="1092" spans="5:23" ht="42" customHeight="1">
      <c r="E1092" s="368"/>
      <c r="F1092" s="368"/>
      <c r="G1092" s="368"/>
      <c r="H1092" s="368"/>
      <c r="V1092" s="368"/>
      <c r="W1092" s="368"/>
    </row>
    <row r="1093" spans="5:23" ht="42" customHeight="1">
      <c r="E1093" s="368"/>
      <c r="F1093" s="368"/>
      <c r="G1093" s="368"/>
      <c r="H1093" s="368"/>
      <c r="V1093" s="368"/>
      <c r="W1093" s="368"/>
    </row>
    <row r="1094" spans="5:23" ht="42" customHeight="1">
      <c r="E1094" s="368"/>
      <c r="F1094" s="368"/>
      <c r="G1094" s="368"/>
      <c r="H1094" s="368"/>
      <c r="V1094" s="368"/>
      <c r="W1094" s="368"/>
    </row>
    <row r="1095" spans="5:23" ht="42" customHeight="1">
      <c r="E1095" s="368"/>
      <c r="F1095" s="368"/>
      <c r="G1095" s="368"/>
      <c r="H1095" s="368"/>
      <c r="V1095" s="368"/>
      <c r="W1095" s="368"/>
    </row>
    <row r="1096" spans="5:23" ht="42" customHeight="1">
      <c r="E1096" s="368"/>
      <c r="F1096" s="368"/>
      <c r="G1096" s="368"/>
      <c r="H1096" s="368"/>
      <c r="V1096" s="368"/>
      <c r="W1096" s="368"/>
    </row>
    <row r="1097" spans="5:23" ht="42" customHeight="1">
      <c r="E1097" s="368"/>
      <c r="F1097" s="368"/>
      <c r="G1097" s="368"/>
      <c r="H1097" s="368"/>
      <c r="V1097" s="368"/>
      <c r="W1097" s="368"/>
    </row>
    <row r="1098" spans="5:23" ht="42" customHeight="1">
      <c r="E1098" s="368"/>
      <c r="F1098" s="368"/>
      <c r="G1098" s="368"/>
      <c r="H1098" s="368"/>
      <c r="V1098" s="368"/>
      <c r="W1098" s="368"/>
    </row>
    <row r="1099" spans="5:23" ht="42" customHeight="1">
      <c r="E1099" s="368"/>
      <c r="F1099" s="368"/>
      <c r="G1099" s="368"/>
      <c r="H1099" s="368"/>
      <c r="V1099" s="368"/>
      <c r="W1099" s="368"/>
    </row>
    <row r="1100" spans="5:23" ht="42" customHeight="1">
      <c r="E1100" s="368"/>
      <c r="F1100" s="368"/>
      <c r="G1100" s="368"/>
      <c r="H1100" s="368"/>
      <c r="V1100" s="368"/>
      <c r="W1100" s="368"/>
    </row>
    <row r="1101" spans="5:23" ht="42" customHeight="1">
      <c r="E1101" s="368"/>
      <c r="F1101" s="368"/>
      <c r="G1101" s="368"/>
      <c r="H1101" s="368"/>
      <c r="V1101" s="368"/>
      <c r="W1101" s="368"/>
    </row>
    <row r="1102" spans="5:23" ht="42" customHeight="1">
      <c r="E1102" s="368"/>
      <c r="F1102" s="368"/>
      <c r="G1102" s="368"/>
      <c r="H1102" s="368"/>
      <c r="V1102" s="368"/>
      <c r="W1102" s="368"/>
    </row>
    <row r="1103" spans="5:23" ht="42" customHeight="1">
      <c r="E1103" s="368"/>
      <c r="F1103" s="368"/>
      <c r="G1103" s="368"/>
      <c r="H1103" s="368"/>
      <c r="V1103" s="368"/>
      <c r="W1103" s="368"/>
    </row>
    <row r="1104" spans="5:23" ht="42" customHeight="1">
      <c r="E1104" s="368"/>
      <c r="F1104" s="368"/>
      <c r="G1104" s="368"/>
      <c r="H1104" s="368"/>
      <c r="V1104" s="368"/>
      <c r="W1104" s="368"/>
    </row>
    <row r="1105" spans="5:23" ht="42" customHeight="1">
      <c r="E1105" s="368"/>
      <c r="F1105" s="368"/>
      <c r="G1105" s="368"/>
      <c r="H1105" s="368"/>
      <c r="V1105" s="368"/>
      <c r="W1105" s="368"/>
    </row>
    <row r="1106" spans="5:23" ht="42" customHeight="1">
      <c r="E1106" s="368"/>
      <c r="F1106" s="368"/>
      <c r="G1106" s="368"/>
      <c r="H1106" s="368"/>
      <c r="V1106" s="368"/>
      <c r="W1106" s="368"/>
    </row>
    <row r="1107" spans="5:23" ht="42" customHeight="1">
      <c r="E1107" s="368"/>
      <c r="F1107" s="368"/>
      <c r="G1107" s="368"/>
      <c r="H1107" s="368"/>
      <c r="V1107" s="368"/>
      <c r="W1107" s="368"/>
    </row>
    <row r="1108" spans="5:23" ht="42" customHeight="1">
      <c r="E1108" s="368"/>
      <c r="F1108" s="368"/>
      <c r="G1108" s="368"/>
      <c r="H1108" s="368"/>
      <c r="V1108" s="368"/>
      <c r="W1108" s="368"/>
    </row>
    <row r="1109" spans="5:23" ht="42" customHeight="1">
      <c r="E1109" s="368"/>
      <c r="F1109" s="368"/>
      <c r="G1109" s="368"/>
      <c r="H1109" s="368"/>
      <c r="V1109" s="368"/>
      <c r="W1109" s="368"/>
    </row>
    <row r="1110" spans="5:23" ht="42" customHeight="1">
      <c r="E1110" s="368"/>
      <c r="F1110" s="368"/>
      <c r="G1110" s="368"/>
      <c r="H1110" s="368"/>
      <c r="V1110" s="368"/>
      <c r="W1110" s="368"/>
    </row>
    <row r="1111" spans="5:23" ht="42" customHeight="1">
      <c r="E1111" s="368"/>
      <c r="F1111" s="368"/>
      <c r="G1111" s="368"/>
      <c r="H1111" s="368"/>
      <c r="V1111" s="368"/>
      <c r="W1111" s="368"/>
    </row>
    <row r="1112" spans="5:23" ht="42" customHeight="1">
      <c r="E1112" s="368"/>
      <c r="F1112" s="368"/>
      <c r="G1112" s="368"/>
      <c r="H1112" s="368"/>
      <c r="V1112" s="368"/>
      <c r="W1112" s="368"/>
    </row>
    <row r="1113" spans="5:23" ht="42" customHeight="1">
      <c r="E1113" s="368"/>
      <c r="F1113" s="368"/>
      <c r="G1113" s="368"/>
      <c r="H1113" s="368"/>
      <c r="V1113" s="368"/>
      <c r="W1113" s="368"/>
    </row>
    <row r="1114" spans="5:23" ht="42" customHeight="1">
      <c r="E1114" s="368"/>
      <c r="F1114" s="368"/>
      <c r="G1114" s="368"/>
      <c r="H1114" s="368"/>
      <c r="V1114" s="368"/>
      <c r="W1114" s="368"/>
    </row>
    <row r="1115" spans="5:23" ht="42" customHeight="1">
      <c r="E1115" s="368"/>
      <c r="F1115" s="368"/>
      <c r="G1115" s="368"/>
      <c r="H1115" s="368"/>
      <c r="V1115" s="368"/>
      <c r="W1115" s="368"/>
    </row>
    <row r="1116" spans="5:23" ht="42" customHeight="1">
      <c r="E1116" s="368"/>
      <c r="F1116" s="368"/>
      <c r="G1116" s="368"/>
      <c r="H1116" s="368"/>
      <c r="V1116" s="368"/>
      <c r="W1116" s="368"/>
    </row>
    <row r="1117" spans="5:23" ht="42" customHeight="1">
      <c r="E1117" s="368"/>
      <c r="F1117" s="368"/>
      <c r="G1117" s="368"/>
      <c r="H1117" s="368"/>
      <c r="V1117" s="368"/>
      <c r="W1117" s="368"/>
    </row>
    <row r="1118" spans="5:23" ht="42" customHeight="1">
      <c r="E1118" s="368"/>
      <c r="F1118" s="368"/>
      <c r="G1118" s="368"/>
      <c r="H1118" s="368"/>
      <c r="V1118" s="368"/>
      <c r="W1118" s="368"/>
    </row>
    <row r="1119" spans="5:23" ht="42" customHeight="1">
      <c r="E1119" s="368"/>
      <c r="F1119" s="368"/>
      <c r="G1119" s="368"/>
      <c r="H1119" s="368"/>
      <c r="V1119" s="368"/>
      <c r="W1119" s="368"/>
    </row>
    <row r="1120" spans="5:23" ht="42" customHeight="1">
      <c r="E1120" s="368"/>
      <c r="F1120" s="368"/>
      <c r="G1120" s="368"/>
      <c r="H1120" s="368"/>
      <c r="V1120" s="368"/>
      <c r="W1120" s="368"/>
    </row>
    <row r="1121" spans="5:23" ht="42" customHeight="1">
      <c r="E1121" s="368"/>
      <c r="F1121" s="368"/>
      <c r="G1121" s="368"/>
      <c r="H1121" s="368"/>
      <c r="V1121" s="368"/>
      <c r="W1121" s="368"/>
    </row>
    <row r="1122" spans="5:23" ht="42" customHeight="1">
      <c r="E1122" s="368"/>
      <c r="F1122" s="368"/>
      <c r="G1122" s="368"/>
      <c r="H1122" s="368"/>
      <c r="V1122" s="368"/>
      <c r="W1122" s="368"/>
    </row>
    <row r="1123" spans="5:23" ht="42" customHeight="1">
      <c r="E1123" s="368"/>
      <c r="F1123" s="368"/>
      <c r="G1123" s="368"/>
      <c r="H1123" s="368"/>
      <c r="V1123" s="368"/>
      <c r="W1123" s="368"/>
    </row>
    <row r="1124" spans="5:23" ht="42" customHeight="1">
      <c r="E1124" s="368"/>
      <c r="F1124" s="368"/>
      <c r="G1124" s="368"/>
      <c r="H1124" s="368"/>
      <c r="V1124" s="368"/>
      <c r="W1124" s="368"/>
    </row>
    <row r="1125" spans="5:23" ht="42" customHeight="1">
      <c r="E1125" s="368"/>
      <c r="F1125" s="368"/>
      <c r="G1125" s="368"/>
      <c r="H1125" s="368"/>
      <c r="V1125" s="368"/>
      <c r="W1125" s="368"/>
    </row>
    <row r="1126" spans="5:23" ht="42" customHeight="1">
      <c r="E1126" s="368"/>
      <c r="F1126" s="368"/>
      <c r="G1126" s="368"/>
      <c r="H1126" s="368"/>
      <c r="V1126" s="368"/>
      <c r="W1126" s="368"/>
    </row>
    <row r="1127" spans="5:23" ht="42" customHeight="1">
      <c r="E1127" s="368"/>
      <c r="F1127" s="368"/>
      <c r="G1127" s="368"/>
      <c r="H1127" s="368"/>
      <c r="V1127" s="368"/>
      <c r="W1127" s="368"/>
    </row>
    <row r="1128" spans="5:23" ht="42" customHeight="1">
      <c r="E1128" s="368"/>
      <c r="F1128" s="368"/>
      <c r="G1128" s="368"/>
      <c r="H1128" s="368"/>
      <c r="V1128" s="368"/>
      <c r="W1128" s="368"/>
    </row>
    <row r="1129" spans="5:23" ht="42" customHeight="1">
      <c r="E1129" s="368"/>
      <c r="F1129" s="368"/>
      <c r="G1129" s="368"/>
      <c r="H1129" s="368"/>
      <c r="V1129" s="368"/>
      <c r="W1129" s="368"/>
    </row>
    <row r="1130" spans="5:23" ht="42" customHeight="1">
      <c r="E1130" s="368"/>
      <c r="F1130" s="368"/>
      <c r="G1130" s="368"/>
      <c r="H1130" s="368"/>
      <c r="V1130" s="368"/>
      <c r="W1130" s="368"/>
    </row>
    <row r="1131" spans="5:23" ht="42" customHeight="1">
      <c r="E1131" s="368"/>
      <c r="F1131" s="368"/>
      <c r="G1131" s="368"/>
      <c r="H1131" s="368"/>
      <c r="V1131" s="368"/>
      <c r="W1131" s="368"/>
    </row>
    <row r="1132" spans="5:23" ht="42" customHeight="1">
      <c r="E1132" s="368"/>
      <c r="F1132" s="368"/>
      <c r="G1132" s="368"/>
      <c r="H1132" s="368"/>
      <c r="V1132" s="368"/>
      <c r="W1132" s="368"/>
    </row>
    <row r="1133" spans="5:23" ht="42" customHeight="1">
      <c r="E1133" s="368"/>
      <c r="F1133" s="368"/>
      <c r="G1133" s="368"/>
      <c r="H1133" s="368"/>
      <c r="V1133" s="368"/>
      <c r="W1133" s="368"/>
    </row>
    <row r="1134" spans="5:23" ht="42" customHeight="1">
      <c r="E1134" s="368"/>
      <c r="F1134" s="368"/>
      <c r="G1134" s="368"/>
      <c r="H1134" s="368"/>
      <c r="V1134" s="368"/>
      <c r="W1134" s="368"/>
    </row>
    <row r="1135" spans="5:23" ht="42" customHeight="1">
      <c r="E1135" s="368"/>
      <c r="F1135" s="368"/>
      <c r="G1135" s="368"/>
      <c r="H1135" s="368"/>
      <c r="V1135" s="368"/>
      <c r="W1135" s="368"/>
    </row>
    <row r="1136" spans="5:23" ht="42" customHeight="1">
      <c r="E1136" s="368"/>
      <c r="F1136" s="368"/>
      <c r="G1136" s="368"/>
      <c r="H1136" s="368"/>
      <c r="V1136" s="368"/>
      <c r="W1136" s="368"/>
    </row>
    <row r="1137" spans="5:23" ht="42" customHeight="1">
      <c r="E1137" s="368"/>
      <c r="F1137" s="368"/>
      <c r="G1137" s="368"/>
      <c r="H1137" s="368"/>
      <c r="V1137" s="368"/>
      <c r="W1137" s="368"/>
    </row>
    <row r="1138" spans="5:23" ht="42" customHeight="1">
      <c r="E1138" s="368"/>
      <c r="F1138" s="368"/>
      <c r="G1138" s="368"/>
      <c r="H1138" s="368"/>
      <c r="V1138" s="368"/>
      <c r="W1138" s="368"/>
    </row>
    <row r="1139" spans="5:23" ht="42" customHeight="1">
      <c r="E1139" s="368"/>
      <c r="F1139" s="368"/>
      <c r="G1139" s="368"/>
      <c r="H1139" s="368"/>
      <c r="V1139" s="368"/>
      <c r="W1139" s="368"/>
    </row>
    <row r="1140" spans="5:23" ht="42" customHeight="1">
      <c r="E1140" s="368"/>
      <c r="F1140" s="368"/>
      <c r="G1140" s="368"/>
      <c r="H1140" s="368"/>
      <c r="V1140" s="368"/>
      <c r="W1140" s="368"/>
    </row>
    <row r="1141" spans="5:23" ht="42" customHeight="1">
      <c r="E1141" s="368"/>
      <c r="F1141" s="368"/>
      <c r="G1141" s="368"/>
      <c r="H1141" s="368"/>
      <c r="V1141" s="368"/>
      <c r="W1141" s="368"/>
    </row>
    <row r="1142" spans="5:23" ht="42" customHeight="1">
      <c r="E1142" s="368"/>
      <c r="F1142" s="368"/>
      <c r="G1142" s="368"/>
      <c r="H1142" s="368"/>
      <c r="V1142" s="368"/>
      <c r="W1142" s="368"/>
    </row>
    <row r="1143" spans="5:23" ht="42" customHeight="1">
      <c r="E1143" s="368"/>
      <c r="F1143" s="368"/>
      <c r="G1143" s="368"/>
      <c r="H1143" s="368"/>
      <c r="V1143" s="368"/>
      <c r="W1143" s="368"/>
    </row>
    <row r="1144" spans="5:23" ht="42" customHeight="1">
      <c r="E1144" s="368"/>
      <c r="F1144" s="368"/>
      <c r="G1144" s="368"/>
      <c r="H1144" s="368"/>
      <c r="V1144" s="368"/>
      <c r="W1144" s="368"/>
    </row>
    <row r="1145" spans="5:23" ht="42" customHeight="1">
      <c r="E1145" s="368"/>
      <c r="F1145" s="368"/>
      <c r="G1145" s="368"/>
      <c r="H1145" s="368"/>
      <c r="V1145" s="368"/>
      <c r="W1145" s="368"/>
    </row>
    <row r="1146" spans="5:23" ht="42" customHeight="1">
      <c r="E1146" s="368"/>
      <c r="F1146" s="368"/>
      <c r="G1146" s="368"/>
      <c r="H1146" s="368"/>
      <c r="V1146" s="368"/>
      <c r="W1146" s="368"/>
    </row>
    <row r="1147" spans="5:23" ht="42" customHeight="1">
      <c r="E1147" s="368"/>
      <c r="F1147" s="368"/>
      <c r="G1147" s="368"/>
      <c r="H1147" s="368"/>
      <c r="V1147" s="368"/>
      <c r="W1147" s="368"/>
    </row>
    <row r="1148" spans="5:23" ht="42" customHeight="1">
      <c r="E1148" s="368"/>
      <c r="F1148" s="368"/>
      <c r="G1148" s="368"/>
      <c r="H1148" s="368"/>
      <c r="V1148" s="368"/>
      <c r="W1148" s="368"/>
    </row>
    <row r="1149" spans="5:23" ht="42" customHeight="1">
      <c r="E1149" s="368"/>
      <c r="F1149" s="368"/>
      <c r="G1149" s="368"/>
      <c r="H1149" s="368"/>
      <c r="V1149" s="368"/>
      <c r="W1149" s="368"/>
    </row>
    <row r="1150" spans="5:23" ht="42" customHeight="1">
      <c r="E1150" s="368"/>
      <c r="F1150" s="368"/>
      <c r="G1150" s="368"/>
      <c r="H1150" s="368"/>
      <c r="V1150" s="368"/>
      <c r="W1150" s="368"/>
    </row>
    <row r="1151" spans="5:23" ht="42" customHeight="1">
      <c r="E1151" s="368"/>
      <c r="F1151" s="368"/>
      <c r="G1151" s="368"/>
      <c r="H1151" s="368"/>
      <c r="V1151" s="368"/>
      <c r="W1151" s="368"/>
    </row>
    <row r="1152" spans="5:23" ht="42" customHeight="1">
      <c r="E1152" s="368"/>
      <c r="F1152" s="368"/>
      <c r="G1152" s="368"/>
      <c r="H1152" s="368"/>
      <c r="V1152" s="368"/>
      <c r="W1152" s="368"/>
    </row>
    <row r="1153" spans="5:23" ht="42" customHeight="1">
      <c r="E1153" s="368"/>
      <c r="F1153" s="368"/>
      <c r="G1153" s="368"/>
      <c r="H1153" s="368"/>
      <c r="V1153" s="368"/>
      <c r="W1153" s="368"/>
    </row>
    <row r="1154" spans="5:23" ht="42" customHeight="1">
      <c r="E1154" s="368"/>
      <c r="F1154" s="368"/>
      <c r="G1154" s="368"/>
      <c r="H1154" s="368"/>
      <c r="V1154" s="368"/>
      <c r="W1154" s="368"/>
    </row>
    <row r="1155" spans="5:23" ht="42" customHeight="1">
      <c r="E1155" s="368"/>
      <c r="F1155" s="368"/>
      <c r="G1155" s="368"/>
      <c r="H1155" s="368"/>
      <c r="V1155" s="368"/>
      <c r="W1155" s="368"/>
    </row>
    <row r="1156" spans="5:23" ht="42" customHeight="1">
      <c r="E1156" s="368"/>
      <c r="F1156" s="368"/>
      <c r="G1156" s="368"/>
      <c r="H1156" s="368"/>
      <c r="V1156" s="368"/>
      <c r="W1156" s="368"/>
    </row>
    <row r="1157" spans="5:23" ht="42" customHeight="1">
      <c r="E1157" s="368"/>
      <c r="F1157" s="368"/>
      <c r="G1157" s="368"/>
      <c r="H1157" s="368"/>
      <c r="V1157" s="368"/>
      <c r="W1157" s="368"/>
    </row>
    <row r="1158" spans="5:23" ht="42" customHeight="1">
      <c r="E1158" s="368"/>
      <c r="F1158" s="368"/>
      <c r="G1158" s="368"/>
      <c r="H1158" s="368"/>
      <c r="V1158" s="368"/>
      <c r="W1158" s="368"/>
    </row>
    <row r="1159" spans="5:23" ht="42" customHeight="1">
      <c r="E1159" s="368"/>
      <c r="F1159" s="368"/>
      <c r="G1159" s="368"/>
      <c r="H1159" s="368"/>
      <c r="V1159" s="368"/>
      <c r="W1159" s="368"/>
    </row>
    <row r="1160" spans="5:23" ht="42" customHeight="1">
      <c r="E1160" s="368"/>
      <c r="F1160" s="368"/>
      <c r="G1160" s="368"/>
      <c r="H1160" s="368"/>
      <c r="V1160" s="368"/>
      <c r="W1160" s="368"/>
    </row>
    <row r="1161" spans="5:23" ht="42" customHeight="1">
      <c r="E1161" s="368"/>
      <c r="F1161" s="368"/>
      <c r="G1161" s="368"/>
      <c r="H1161" s="368"/>
      <c r="V1161" s="368"/>
      <c r="W1161" s="368"/>
    </row>
    <row r="1162" spans="5:23" ht="42" customHeight="1">
      <c r="E1162" s="368"/>
      <c r="F1162" s="368"/>
      <c r="G1162" s="368"/>
      <c r="H1162" s="368"/>
      <c r="V1162" s="368"/>
      <c r="W1162" s="368"/>
    </row>
    <row r="1163" spans="5:23" ht="42" customHeight="1">
      <c r="E1163" s="368"/>
      <c r="F1163" s="368"/>
      <c r="G1163" s="368"/>
      <c r="H1163" s="368"/>
      <c r="V1163" s="368"/>
      <c r="W1163" s="368"/>
    </row>
    <row r="1164" spans="5:23" ht="42" customHeight="1">
      <c r="E1164" s="368"/>
      <c r="F1164" s="368"/>
      <c r="G1164" s="368"/>
      <c r="H1164" s="368"/>
      <c r="V1164" s="368"/>
      <c r="W1164" s="368"/>
    </row>
    <row r="1165" spans="5:23" ht="42" customHeight="1">
      <c r="E1165" s="368"/>
      <c r="F1165" s="368"/>
      <c r="G1165" s="368"/>
      <c r="H1165" s="368"/>
      <c r="V1165" s="368"/>
      <c r="W1165" s="368"/>
    </row>
    <row r="1166" spans="5:23" ht="42" customHeight="1">
      <c r="E1166" s="368"/>
      <c r="F1166" s="368"/>
      <c r="G1166" s="368"/>
      <c r="H1166" s="368"/>
      <c r="V1166" s="368"/>
      <c r="W1166" s="368"/>
    </row>
    <row r="1167" spans="5:23" ht="42" customHeight="1">
      <c r="E1167" s="368"/>
      <c r="F1167" s="368"/>
      <c r="G1167" s="368"/>
      <c r="H1167" s="368"/>
      <c r="V1167" s="368"/>
      <c r="W1167" s="368"/>
    </row>
    <row r="1168" spans="5:23" ht="42" customHeight="1">
      <c r="E1168" s="368"/>
      <c r="F1168" s="368"/>
      <c r="G1168" s="368"/>
      <c r="H1168" s="368"/>
      <c r="V1168" s="368"/>
      <c r="W1168" s="368"/>
    </row>
    <row r="1169" spans="5:23" ht="42" customHeight="1">
      <c r="E1169" s="368"/>
      <c r="F1169" s="368"/>
      <c r="G1169" s="368"/>
      <c r="H1169" s="368"/>
      <c r="V1169" s="368"/>
      <c r="W1169" s="368"/>
    </row>
    <row r="1170" spans="5:23" ht="42" customHeight="1">
      <c r="E1170" s="368"/>
      <c r="F1170" s="368"/>
      <c r="G1170" s="368"/>
      <c r="H1170" s="368"/>
      <c r="V1170" s="368"/>
      <c r="W1170" s="368"/>
    </row>
    <row r="1171" spans="5:23" ht="42" customHeight="1">
      <c r="E1171" s="368"/>
      <c r="F1171" s="368"/>
      <c r="G1171" s="368"/>
      <c r="H1171" s="368"/>
      <c r="V1171" s="368"/>
      <c r="W1171" s="368"/>
    </row>
    <row r="1172" spans="5:23" ht="42" customHeight="1">
      <c r="E1172" s="368"/>
      <c r="F1172" s="368"/>
      <c r="G1172" s="368"/>
      <c r="H1172" s="368"/>
      <c r="V1172" s="368"/>
      <c r="W1172" s="368"/>
    </row>
    <row r="1173" spans="5:23" ht="42" customHeight="1">
      <c r="E1173" s="368"/>
      <c r="F1173" s="368"/>
      <c r="G1173" s="368"/>
      <c r="H1173" s="368"/>
      <c r="V1173" s="368"/>
      <c r="W1173" s="368"/>
    </row>
    <row r="1174" spans="5:23" ht="42" customHeight="1">
      <c r="E1174" s="368"/>
      <c r="F1174" s="368"/>
      <c r="G1174" s="368"/>
      <c r="H1174" s="368"/>
      <c r="V1174" s="368"/>
      <c r="W1174" s="368"/>
    </row>
    <row r="1175" spans="5:23" ht="42" customHeight="1">
      <c r="E1175" s="368"/>
      <c r="F1175" s="368"/>
      <c r="G1175" s="368"/>
      <c r="H1175" s="368"/>
      <c r="V1175" s="368"/>
      <c r="W1175" s="368"/>
    </row>
    <row r="1176" spans="5:23" ht="42" customHeight="1">
      <c r="E1176" s="368"/>
      <c r="F1176" s="368"/>
      <c r="G1176" s="368"/>
      <c r="H1176" s="368"/>
      <c r="V1176" s="368"/>
      <c r="W1176" s="368"/>
    </row>
    <row r="1177" spans="5:23" ht="42" customHeight="1">
      <c r="E1177" s="368"/>
      <c r="F1177" s="368"/>
      <c r="G1177" s="368"/>
      <c r="H1177" s="368"/>
      <c r="V1177" s="368"/>
      <c r="W1177" s="368"/>
    </row>
    <row r="1178" spans="5:23" ht="42" customHeight="1">
      <c r="E1178" s="368"/>
      <c r="F1178" s="368"/>
      <c r="G1178" s="368"/>
      <c r="H1178" s="368"/>
      <c r="V1178" s="368"/>
      <c r="W1178" s="368"/>
    </row>
    <row r="1179" spans="5:23" ht="42" customHeight="1">
      <c r="E1179" s="368"/>
      <c r="F1179" s="368"/>
      <c r="G1179" s="368"/>
      <c r="H1179" s="368"/>
      <c r="V1179" s="368"/>
      <c r="W1179" s="368"/>
    </row>
    <row r="1180" spans="5:23" ht="42" customHeight="1">
      <c r="E1180" s="368"/>
      <c r="F1180" s="368"/>
      <c r="G1180" s="368"/>
      <c r="H1180" s="368"/>
      <c r="V1180" s="368"/>
      <c r="W1180" s="368"/>
    </row>
    <row r="1181" spans="5:23" ht="42" customHeight="1">
      <c r="E1181" s="368"/>
      <c r="F1181" s="368"/>
      <c r="G1181" s="368"/>
      <c r="H1181" s="368"/>
      <c r="V1181" s="368"/>
      <c r="W1181" s="368"/>
    </row>
    <row r="1182" spans="5:23" ht="42" customHeight="1">
      <c r="E1182" s="368"/>
      <c r="F1182" s="368"/>
      <c r="G1182" s="368"/>
      <c r="H1182" s="368"/>
      <c r="V1182" s="368"/>
      <c r="W1182" s="368"/>
    </row>
    <row r="1183" spans="5:23" ht="42" customHeight="1">
      <c r="E1183" s="368"/>
      <c r="F1183" s="368"/>
      <c r="G1183" s="368"/>
      <c r="H1183" s="368"/>
      <c r="V1183" s="368"/>
      <c r="W1183" s="368"/>
    </row>
    <row r="1184" spans="5:23" ht="42" customHeight="1">
      <c r="E1184" s="368"/>
      <c r="F1184" s="368"/>
      <c r="G1184" s="368"/>
      <c r="H1184" s="368"/>
      <c r="V1184" s="368"/>
      <c r="W1184" s="368"/>
    </row>
    <row r="1185" spans="5:23" ht="42" customHeight="1">
      <c r="E1185" s="368"/>
      <c r="F1185" s="368"/>
      <c r="G1185" s="368"/>
      <c r="H1185" s="368"/>
      <c r="V1185" s="368"/>
      <c r="W1185" s="368"/>
    </row>
    <row r="1186" spans="5:23" ht="42" customHeight="1">
      <c r="E1186" s="368"/>
      <c r="F1186" s="368"/>
      <c r="G1186" s="368"/>
      <c r="H1186" s="368"/>
      <c r="V1186" s="368"/>
      <c r="W1186" s="368"/>
    </row>
    <row r="1187" spans="5:23" ht="42" customHeight="1">
      <c r="E1187" s="368"/>
      <c r="F1187" s="368"/>
      <c r="G1187" s="368"/>
      <c r="H1187" s="368"/>
      <c r="V1187" s="368"/>
      <c r="W1187" s="368"/>
    </row>
    <row r="1188" spans="5:23" ht="42" customHeight="1">
      <c r="E1188" s="368"/>
      <c r="F1188" s="368"/>
      <c r="G1188" s="368"/>
      <c r="H1188" s="368"/>
      <c r="V1188" s="368"/>
      <c r="W1188" s="368"/>
    </row>
    <row r="1189" spans="5:23" ht="42" customHeight="1">
      <c r="E1189" s="368"/>
      <c r="F1189" s="368"/>
      <c r="G1189" s="368"/>
      <c r="H1189" s="368"/>
      <c r="V1189" s="368"/>
      <c r="W1189" s="368"/>
    </row>
    <row r="1190" spans="5:23" ht="42" customHeight="1">
      <c r="E1190" s="368"/>
      <c r="F1190" s="368"/>
      <c r="G1190" s="368"/>
      <c r="H1190" s="368"/>
      <c r="V1190" s="368"/>
      <c r="W1190" s="368"/>
    </row>
    <row r="1191" spans="5:23" ht="42" customHeight="1">
      <c r="E1191" s="368"/>
      <c r="F1191" s="368"/>
      <c r="G1191" s="368"/>
      <c r="H1191" s="368"/>
      <c r="V1191" s="368"/>
      <c r="W1191" s="368"/>
    </row>
    <row r="1192" spans="5:23" ht="42" customHeight="1">
      <c r="E1192" s="368"/>
      <c r="F1192" s="368"/>
      <c r="G1192" s="368"/>
      <c r="H1192" s="368"/>
      <c r="V1192" s="368"/>
      <c r="W1192" s="368"/>
    </row>
    <row r="1193" spans="5:23" ht="42" customHeight="1">
      <c r="E1193" s="368"/>
      <c r="F1193" s="368"/>
      <c r="G1193" s="368"/>
      <c r="H1193" s="368"/>
      <c r="V1193" s="368"/>
      <c r="W1193" s="368"/>
    </row>
    <row r="1194" spans="5:23" ht="42" customHeight="1">
      <c r="E1194" s="368"/>
      <c r="F1194" s="368"/>
      <c r="G1194" s="368"/>
      <c r="H1194" s="368"/>
      <c r="V1194" s="368"/>
      <c r="W1194" s="368"/>
    </row>
    <row r="1195" spans="5:23" ht="42" customHeight="1">
      <c r="E1195" s="368"/>
      <c r="F1195" s="368"/>
      <c r="G1195" s="368"/>
      <c r="H1195" s="368"/>
      <c r="V1195" s="368"/>
      <c r="W1195" s="368"/>
    </row>
    <row r="1196" spans="5:23" ht="42" customHeight="1">
      <c r="E1196" s="368"/>
      <c r="F1196" s="368"/>
      <c r="G1196" s="368"/>
      <c r="H1196" s="368"/>
      <c r="V1196" s="368"/>
      <c r="W1196" s="368"/>
    </row>
    <row r="1197" spans="5:23" ht="42" customHeight="1">
      <c r="E1197" s="368"/>
      <c r="F1197" s="368"/>
      <c r="G1197" s="368"/>
      <c r="H1197" s="368"/>
      <c r="V1197" s="368"/>
      <c r="W1197" s="368"/>
    </row>
    <row r="1198" spans="5:23" ht="42" customHeight="1">
      <c r="E1198" s="368"/>
      <c r="F1198" s="368"/>
      <c r="G1198" s="368"/>
      <c r="H1198" s="368"/>
      <c r="V1198" s="368"/>
      <c r="W1198" s="368"/>
    </row>
    <row r="1199" spans="5:23" ht="42" customHeight="1">
      <c r="E1199" s="368"/>
      <c r="F1199" s="368"/>
      <c r="G1199" s="368"/>
      <c r="H1199" s="368"/>
      <c r="V1199" s="368"/>
      <c r="W1199" s="368"/>
    </row>
    <row r="1200" spans="5:23" ht="42" customHeight="1">
      <c r="E1200" s="368"/>
      <c r="F1200" s="368"/>
      <c r="G1200" s="368"/>
      <c r="H1200" s="368"/>
      <c r="V1200" s="368"/>
      <c r="W1200" s="368"/>
    </row>
    <row r="1201" spans="5:23" ht="42" customHeight="1">
      <c r="E1201" s="368"/>
      <c r="F1201" s="368"/>
      <c r="G1201" s="368"/>
      <c r="H1201" s="368"/>
      <c r="V1201" s="368"/>
      <c r="W1201" s="368"/>
    </row>
    <row r="1202" spans="5:23" ht="42" customHeight="1">
      <c r="E1202" s="368"/>
      <c r="F1202" s="368"/>
      <c r="G1202" s="368"/>
      <c r="H1202" s="368"/>
      <c r="V1202" s="368"/>
      <c r="W1202" s="368"/>
    </row>
    <row r="1203" spans="5:23" ht="42" customHeight="1">
      <c r="E1203" s="368"/>
      <c r="F1203" s="368"/>
      <c r="G1203" s="368"/>
      <c r="H1203" s="368"/>
      <c r="V1203" s="368"/>
      <c r="W1203" s="368"/>
    </row>
    <row r="1204" spans="5:23" ht="42" customHeight="1">
      <c r="E1204" s="368"/>
      <c r="F1204" s="368"/>
      <c r="G1204" s="368"/>
      <c r="H1204" s="368"/>
      <c r="V1204" s="368"/>
      <c r="W1204" s="368"/>
    </row>
    <row r="1205" spans="5:23" ht="42" customHeight="1">
      <c r="E1205" s="368"/>
      <c r="F1205" s="368"/>
      <c r="G1205" s="368"/>
      <c r="H1205" s="368"/>
      <c r="V1205" s="368"/>
      <c r="W1205" s="368"/>
    </row>
    <row r="1206" spans="5:23" ht="42" customHeight="1">
      <c r="E1206" s="368"/>
      <c r="F1206" s="368"/>
      <c r="G1206" s="368"/>
      <c r="H1206" s="368"/>
      <c r="V1206" s="368"/>
      <c r="W1206" s="368"/>
    </row>
    <row r="1207" spans="5:23" ht="42" customHeight="1">
      <c r="E1207" s="368"/>
      <c r="F1207" s="368"/>
      <c r="G1207" s="368"/>
      <c r="H1207" s="368"/>
      <c r="V1207" s="368"/>
      <c r="W1207" s="368"/>
    </row>
    <row r="1208" spans="5:23" ht="42" customHeight="1">
      <c r="E1208" s="368"/>
      <c r="F1208" s="368"/>
      <c r="G1208" s="368"/>
      <c r="H1208" s="368"/>
      <c r="V1208" s="368"/>
      <c r="W1208" s="368"/>
    </row>
    <row r="1209" spans="5:23" ht="42" customHeight="1">
      <c r="E1209" s="368"/>
      <c r="F1209" s="368"/>
      <c r="G1209" s="368"/>
      <c r="H1209" s="368"/>
      <c r="V1209" s="368"/>
      <c r="W1209" s="368"/>
    </row>
    <row r="1210" spans="5:23" ht="42" customHeight="1">
      <c r="E1210" s="368"/>
      <c r="F1210" s="368"/>
      <c r="G1210" s="368"/>
      <c r="H1210" s="368"/>
      <c r="V1210" s="368"/>
      <c r="W1210" s="368"/>
    </row>
    <row r="1211" spans="5:23" ht="42" customHeight="1">
      <c r="E1211" s="368"/>
      <c r="F1211" s="368"/>
      <c r="G1211" s="368"/>
      <c r="H1211" s="368"/>
      <c r="V1211" s="368"/>
      <c r="W1211" s="368"/>
    </row>
    <row r="1212" spans="5:23" ht="42" customHeight="1">
      <c r="E1212" s="368"/>
      <c r="F1212" s="368"/>
      <c r="G1212" s="368"/>
      <c r="H1212" s="368"/>
      <c r="V1212" s="368"/>
      <c r="W1212" s="368"/>
    </row>
    <row r="1213" spans="5:23" ht="42" customHeight="1">
      <c r="E1213" s="368"/>
      <c r="F1213" s="368"/>
      <c r="G1213" s="368"/>
      <c r="H1213" s="368"/>
      <c r="V1213" s="368"/>
      <c r="W1213" s="368"/>
    </row>
    <row r="1214" spans="5:23" ht="42" customHeight="1">
      <c r="E1214" s="368"/>
      <c r="F1214" s="368"/>
      <c r="G1214" s="368"/>
      <c r="H1214" s="368"/>
      <c r="V1214" s="368"/>
      <c r="W1214" s="368"/>
    </row>
    <row r="1215" spans="5:23" ht="42" customHeight="1">
      <c r="E1215" s="368"/>
      <c r="F1215" s="368"/>
      <c r="G1215" s="368"/>
      <c r="H1215" s="368"/>
      <c r="V1215" s="368"/>
      <c r="W1215" s="368"/>
    </row>
    <row r="1216" spans="5:23" ht="42" customHeight="1">
      <c r="E1216" s="368"/>
      <c r="F1216" s="368"/>
      <c r="G1216" s="368"/>
      <c r="H1216" s="368"/>
      <c r="V1216" s="368"/>
      <c r="W1216" s="368"/>
    </row>
    <row r="1217" spans="5:23" ht="42" customHeight="1">
      <c r="E1217" s="368"/>
      <c r="F1217" s="368"/>
      <c r="G1217" s="368"/>
      <c r="H1217" s="368"/>
      <c r="V1217" s="368"/>
      <c r="W1217" s="368"/>
    </row>
    <row r="1218" spans="5:23" ht="42" customHeight="1">
      <c r="E1218" s="368"/>
      <c r="F1218" s="368"/>
      <c r="G1218" s="368"/>
      <c r="H1218" s="368"/>
      <c r="V1218" s="368"/>
      <c r="W1218" s="368"/>
    </row>
    <row r="1219" spans="5:23" ht="42" customHeight="1">
      <c r="E1219" s="368"/>
      <c r="F1219" s="368"/>
      <c r="G1219" s="368"/>
      <c r="H1219" s="368"/>
      <c r="V1219" s="368"/>
      <c r="W1219" s="368"/>
    </row>
    <row r="1220" spans="5:23" ht="42" customHeight="1">
      <c r="E1220" s="368"/>
      <c r="F1220" s="368"/>
      <c r="G1220" s="368"/>
      <c r="H1220" s="368"/>
      <c r="V1220" s="368"/>
      <c r="W1220" s="368"/>
    </row>
    <row r="1221" spans="5:23" ht="42" customHeight="1">
      <c r="E1221" s="368"/>
      <c r="F1221" s="368"/>
      <c r="G1221" s="368"/>
      <c r="H1221" s="368"/>
      <c r="V1221" s="368"/>
      <c r="W1221" s="368"/>
    </row>
    <row r="1222" spans="5:23" ht="42" customHeight="1">
      <c r="E1222" s="368"/>
      <c r="F1222" s="368"/>
      <c r="G1222" s="368"/>
      <c r="H1222" s="368"/>
      <c r="V1222" s="368"/>
      <c r="W1222" s="368"/>
    </row>
    <row r="1223" spans="5:23" ht="42" customHeight="1">
      <c r="E1223" s="368"/>
      <c r="F1223" s="368"/>
      <c r="G1223" s="368"/>
      <c r="H1223" s="368"/>
      <c r="V1223" s="368"/>
      <c r="W1223" s="368"/>
    </row>
    <row r="1224" spans="5:23" ht="42" customHeight="1">
      <c r="E1224" s="368"/>
      <c r="F1224" s="368"/>
      <c r="G1224" s="368"/>
      <c r="H1224" s="368"/>
      <c r="V1224" s="368"/>
      <c r="W1224" s="368"/>
    </row>
    <row r="1225" spans="5:23" ht="42" customHeight="1">
      <c r="E1225" s="368"/>
      <c r="F1225" s="368"/>
      <c r="G1225" s="368"/>
      <c r="H1225" s="368"/>
      <c r="V1225" s="368"/>
      <c r="W1225" s="368"/>
    </row>
    <row r="1226" spans="5:23" ht="42" customHeight="1">
      <c r="E1226" s="368"/>
      <c r="F1226" s="368"/>
      <c r="G1226" s="368"/>
      <c r="H1226" s="368"/>
      <c r="V1226" s="368"/>
      <c r="W1226" s="368"/>
    </row>
  </sheetData>
  <mergeCells count="614">
    <mergeCell ref="S93:S95"/>
    <mergeCell ref="A90:A92"/>
    <mergeCell ref="B90:B92"/>
    <mergeCell ref="C90:C92"/>
    <mergeCell ref="A88:A89"/>
    <mergeCell ref="A107:A110"/>
    <mergeCell ref="C88:C89"/>
    <mergeCell ref="A101:A106"/>
    <mergeCell ref="A96:A98"/>
    <mergeCell ref="B96:B98"/>
    <mergeCell ref="C96:C98"/>
    <mergeCell ref="L107:L110"/>
    <mergeCell ref="B107:B110"/>
    <mergeCell ref="R101:R106"/>
    <mergeCell ref="R90:R92"/>
    <mergeCell ref="Q107:Q110"/>
    <mergeCell ref="Q93:Q95"/>
    <mergeCell ref="R93:R95"/>
    <mergeCell ref="Q90:Q92"/>
    <mergeCell ref="P96:P98"/>
    <mergeCell ref="P101:P106"/>
    <mergeCell ref="M93:M95"/>
    <mergeCell ref="P93:P95"/>
    <mergeCell ref="A136:A137"/>
    <mergeCell ref="J90:J92"/>
    <mergeCell ref="K90:K92"/>
    <mergeCell ref="L90:L92"/>
    <mergeCell ref="J136:J137"/>
    <mergeCell ref="B112:B115"/>
    <mergeCell ref="C112:C115"/>
    <mergeCell ref="A93:A95"/>
    <mergeCell ref="B93:B95"/>
    <mergeCell ref="C93:C95"/>
    <mergeCell ref="J93:J95"/>
    <mergeCell ref="K93:K95"/>
    <mergeCell ref="L93:L95"/>
    <mergeCell ref="C107:C110"/>
    <mergeCell ref="B101:B106"/>
    <mergeCell ref="C101:C106"/>
    <mergeCell ref="B191:D191"/>
    <mergeCell ref="B187:D187"/>
    <mergeCell ref="B157:B158"/>
    <mergeCell ref="C157:C158"/>
    <mergeCell ref="K159:K160"/>
    <mergeCell ref="C175:C176"/>
    <mergeCell ref="K175:K176"/>
    <mergeCell ref="C168:C170"/>
    <mergeCell ref="K168:K170"/>
    <mergeCell ref="B168:B170"/>
    <mergeCell ref="J147:J158"/>
    <mergeCell ref="A180:D180"/>
    <mergeCell ref="A147:A148"/>
    <mergeCell ref="B147:B148"/>
    <mergeCell ref="A157:A158"/>
    <mergeCell ref="A178:A179"/>
    <mergeCell ref="B178:B179"/>
    <mergeCell ref="C178:C179"/>
    <mergeCell ref="B153:B154"/>
    <mergeCell ref="K161:K162"/>
    <mergeCell ref="A175:A176"/>
    <mergeCell ref="A163:A164"/>
    <mergeCell ref="A159:A160"/>
    <mergeCell ref="A161:A162"/>
    <mergeCell ref="O172:O173"/>
    <mergeCell ref="B175:B176"/>
    <mergeCell ref="A168:A170"/>
    <mergeCell ref="A172:A173"/>
    <mergeCell ref="M168:M170"/>
    <mergeCell ref="P149:P152"/>
    <mergeCell ref="M149:M152"/>
    <mergeCell ref="M157:M158"/>
    <mergeCell ref="L166:L167"/>
    <mergeCell ref="M166:M167"/>
    <mergeCell ref="P166:P167"/>
    <mergeCell ref="M163:M164"/>
    <mergeCell ref="M161:M162"/>
    <mergeCell ref="P161:P162"/>
    <mergeCell ref="O155:O156"/>
    <mergeCell ref="N157:N158"/>
    <mergeCell ref="O157:O158"/>
    <mergeCell ref="N159:N160"/>
    <mergeCell ref="O159:O160"/>
    <mergeCell ref="L161:L162"/>
    <mergeCell ref="P153:P154"/>
    <mergeCell ref="M153:M154"/>
    <mergeCell ref="M155:M156"/>
    <mergeCell ref="P155:P156"/>
    <mergeCell ref="N166:N167"/>
    <mergeCell ref="M159:M160"/>
    <mergeCell ref="B172:B173"/>
    <mergeCell ref="C172:C173"/>
    <mergeCell ref="K172:K173"/>
    <mergeCell ref="L172:L173"/>
    <mergeCell ref="L157:L158"/>
    <mergeCell ref="K157:K158"/>
    <mergeCell ref="J166:J170"/>
    <mergeCell ref="C166:C167"/>
    <mergeCell ref="K166:K167"/>
    <mergeCell ref="L168:L170"/>
    <mergeCell ref="B161:B162"/>
    <mergeCell ref="C161:C162"/>
    <mergeCell ref="L163:L164"/>
    <mergeCell ref="B163:B164"/>
    <mergeCell ref="K163:K164"/>
    <mergeCell ref="L159:L160"/>
    <mergeCell ref="J159:J164"/>
    <mergeCell ref="C163:C164"/>
    <mergeCell ref="B159:B160"/>
    <mergeCell ref="C159:C160"/>
    <mergeCell ref="N172:N173"/>
    <mergeCell ref="L149:L152"/>
    <mergeCell ref="B149:B152"/>
    <mergeCell ref="C149:C152"/>
    <mergeCell ref="A155:A156"/>
    <mergeCell ref="B155:B156"/>
    <mergeCell ref="C155:C156"/>
    <mergeCell ref="K155:K156"/>
    <mergeCell ref="L155:L156"/>
    <mergeCell ref="L145:L146"/>
    <mergeCell ref="K145:K146"/>
    <mergeCell ref="L147:L148"/>
    <mergeCell ref="C147:C148"/>
    <mergeCell ref="J145:J146"/>
    <mergeCell ref="A149:A152"/>
    <mergeCell ref="K149:K152"/>
    <mergeCell ref="C153:C154"/>
    <mergeCell ref="K153:K154"/>
    <mergeCell ref="L153:L154"/>
    <mergeCell ref="A153:A154"/>
    <mergeCell ref="J178:J179"/>
    <mergeCell ref="J175:J176"/>
    <mergeCell ref="J172:J173"/>
    <mergeCell ref="A86:A87"/>
    <mergeCell ref="B86:B87"/>
    <mergeCell ref="C86:C87"/>
    <mergeCell ref="K86:K87"/>
    <mergeCell ref="J86:J87"/>
    <mergeCell ref="L86:L87"/>
    <mergeCell ref="C139:C140"/>
    <mergeCell ref="K142:K143"/>
    <mergeCell ref="J142:J143"/>
    <mergeCell ref="B139:B140"/>
    <mergeCell ref="J139:J140"/>
    <mergeCell ref="L88:L89"/>
    <mergeCell ref="B88:B89"/>
    <mergeCell ref="J96:J98"/>
    <mergeCell ref="K88:K89"/>
    <mergeCell ref="K96:K98"/>
    <mergeCell ref="J101:J106"/>
    <mergeCell ref="K107:K110"/>
    <mergeCell ref="J112:J115"/>
    <mergeCell ref="K112:K115"/>
    <mergeCell ref="L139:L140"/>
    <mergeCell ref="L72:L75"/>
    <mergeCell ref="A72:A75"/>
    <mergeCell ref="L76:L80"/>
    <mergeCell ref="A84:A85"/>
    <mergeCell ref="B84:B85"/>
    <mergeCell ref="C84:C85"/>
    <mergeCell ref="K84:K85"/>
    <mergeCell ref="J76:J80"/>
    <mergeCell ref="C82:C83"/>
    <mergeCell ref="K82:K83"/>
    <mergeCell ref="L82:L83"/>
    <mergeCell ref="A82:A83"/>
    <mergeCell ref="B82:B83"/>
    <mergeCell ref="J82:J83"/>
    <mergeCell ref="A76:A80"/>
    <mergeCell ref="J72:J75"/>
    <mergeCell ref="B76:B80"/>
    <mergeCell ref="C76:C80"/>
    <mergeCell ref="K76:K80"/>
    <mergeCell ref="A64:A66"/>
    <mergeCell ref="B72:B75"/>
    <mergeCell ref="C59:C60"/>
    <mergeCell ref="K59:K60"/>
    <mergeCell ref="L59:L60"/>
    <mergeCell ref="M59:M60"/>
    <mergeCell ref="A67:A69"/>
    <mergeCell ref="B67:B69"/>
    <mergeCell ref="C67:C69"/>
    <mergeCell ref="A70:A71"/>
    <mergeCell ref="B70:B71"/>
    <mergeCell ref="B64:B66"/>
    <mergeCell ref="C64:C66"/>
    <mergeCell ref="A61:A62"/>
    <mergeCell ref="A59:A60"/>
    <mergeCell ref="C70:C71"/>
    <mergeCell ref="J70:J71"/>
    <mergeCell ref="K70:K71"/>
    <mergeCell ref="J64:J66"/>
    <mergeCell ref="M70:M71"/>
    <mergeCell ref="L67:L69"/>
    <mergeCell ref="J67:J69"/>
    <mergeCell ref="C72:C75"/>
    <mergeCell ref="K72:K75"/>
    <mergeCell ref="A51:A52"/>
    <mergeCell ref="B51:B52"/>
    <mergeCell ref="C51:C52"/>
    <mergeCell ref="K51:K52"/>
    <mergeCell ref="R51:R52"/>
    <mergeCell ref="L61:L62"/>
    <mergeCell ref="M61:M62"/>
    <mergeCell ref="P61:P62"/>
    <mergeCell ref="Q53:Q58"/>
    <mergeCell ref="R53:R58"/>
    <mergeCell ref="L53:L58"/>
    <mergeCell ref="M53:M58"/>
    <mergeCell ref="P53:P58"/>
    <mergeCell ref="B53:B58"/>
    <mergeCell ref="C53:C58"/>
    <mergeCell ref="K53:K58"/>
    <mergeCell ref="A53:A58"/>
    <mergeCell ref="P59:P60"/>
    <mergeCell ref="Q59:Q60"/>
    <mergeCell ref="J59:J60"/>
    <mergeCell ref="J61:J62"/>
    <mergeCell ref="B61:B62"/>
    <mergeCell ref="C61:C62"/>
    <mergeCell ref="K61:K62"/>
    <mergeCell ref="Q49:Q50"/>
    <mergeCell ref="R49:R50"/>
    <mergeCell ref="L49:L50"/>
    <mergeCell ref="M49:M50"/>
    <mergeCell ref="P49:P50"/>
    <mergeCell ref="R59:R60"/>
    <mergeCell ref="B59:B60"/>
    <mergeCell ref="J51:J52"/>
    <mergeCell ref="J53:J58"/>
    <mergeCell ref="Q51:Q52"/>
    <mergeCell ref="B49:B50"/>
    <mergeCell ref="C49:C50"/>
    <mergeCell ref="K49:K50"/>
    <mergeCell ref="J49:J50"/>
    <mergeCell ref="N51:N52"/>
    <mergeCell ref="O51:O52"/>
    <mergeCell ref="N53:N58"/>
    <mergeCell ref="O53:O58"/>
    <mergeCell ref="N59:N60"/>
    <mergeCell ref="O59:O60"/>
    <mergeCell ref="A49:A50"/>
    <mergeCell ref="N45:N48"/>
    <mergeCell ref="O45:O48"/>
    <mergeCell ref="N49:N50"/>
    <mergeCell ref="O49:O50"/>
    <mergeCell ref="L45:L48"/>
    <mergeCell ref="M45:M48"/>
    <mergeCell ref="B11:J11"/>
    <mergeCell ref="K4:S4"/>
    <mergeCell ref="K7:M7"/>
    <mergeCell ref="K26:K27"/>
    <mergeCell ref="L26:L27"/>
    <mergeCell ref="I21:I22"/>
    <mergeCell ref="G21:G22"/>
    <mergeCell ref="H21:H22"/>
    <mergeCell ref="A45:A48"/>
    <mergeCell ref="B45:B48"/>
    <mergeCell ref="C45:C48"/>
    <mergeCell ref="K45:K48"/>
    <mergeCell ref="J45:J48"/>
    <mergeCell ref="R45:R48"/>
    <mergeCell ref="Q45:Q48"/>
    <mergeCell ref="Q41:Q44"/>
    <mergeCell ref="R41:R44"/>
    <mergeCell ref="B41:B44"/>
    <mergeCell ref="C41:C44"/>
    <mergeCell ref="K41:K44"/>
    <mergeCell ref="P45:P48"/>
    <mergeCell ref="L41:L44"/>
    <mergeCell ref="M41:M44"/>
    <mergeCell ref="P41:P44"/>
    <mergeCell ref="M21:M22"/>
    <mergeCell ref="A24:A25"/>
    <mergeCell ref="B24:B25"/>
    <mergeCell ref="J21:J22"/>
    <mergeCell ref="J24:J27"/>
    <mergeCell ref="P24:P27"/>
    <mergeCell ref="O35:O38"/>
    <mergeCell ref="J41:J44"/>
    <mergeCell ref="N41:N44"/>
    <mergeCell ref="O41:O44"/>
    <mergeCell ref="Q24:Q27"/>
    <mergeCell ref="R24:R27"/>
    <mergeCell ref="S24:S27"/>
    <mergeCell ref="A35:A38"/>
    <mergeCell ref="B35:B38"/>
    <mergeCell ref="C35:C38"/>
    <mergeCell ref="B28:B29"/>
    <mergeCell ref="C28:C29"/>
    <mergeCell ref="J35:J38"/>
    <mergeCell ref="Q28:Q29"/>
    <mergeCell ref="R28:R29"/>
    <mergeCell ref="R32:R33"/>
    <mergeCell ref="K32:K33"/>
    <mergeCell ref="L32:L33"/>
    <mergeCell ref="M32:M33"/>
    <mergeCell ref="P32:P33"/>
    <mergeCell ref="Q32:Q33"/>
    <mergeCell ref="K35:K38"/>
    <mergeCell ref="M35:M38"/>
    <mergeCell ref="P28:P29"/>
    <mergeCell ref="P35:P38"/>
    <mergeCell ref="Q35:Q38"/>
    <mergeCell ref="R35:R38"/>
    <mergeCell ref="N35:N38"/>
    <mergeCell ref="A1:I1"/>
    <mergeCell ref="C26:C27"/>
    <mergeCell ref="A26:A27"/>
    <mergeCell ref="B26:B27"/>
    <mergeCell ref="B21:B22"/>
    <mergeCell ref="A21:A22"/>
    <mergeCell ref="A32:A33"/>
    <mergeCell ref="B32:B33"/>
    <mergeCell ref="C32:C33"/>
    <mergeCell ref="A28:A29"/>
    <mergeCell ref="B6:J6"/>
    <mergeCell ref="B10:J10"/>
    <mergeCell ref="J28:J29"/>
    <mergeCell ref="J32:J33"/>
    <mergeCell ref="B5:J5"/>
    <mergeCell ref="B12:J12"/>
    <mergeCell ref="B13:J13"/>
    <mergeCell ref="A2:S2"/>
    <mergeCell ref="A20:S20"/>
    <mergeCell ref="P1:S1"/>
    <mergeCell ref="A17:E17"/>
    <mergeCell ref="C24:C25"/>
    <mergeCell ref="K24:K25"/>
    <mergeCell ref="L24:L25"/>
    <mergeCell ref="L64:L66"/>
    <mergeCell ref="M64:M66"/>
    <mergeCell ref="M82:M83"/>
    <mergeCell ref="K81:U81"/>
    <mergeCell ref="M67:M69"/>
    <mergeCell ref="K67:K69"/>
    <mergeCell ref="L84:L85"/>
    <mergeCell ref="M84:M85"/>
    <mergeCell ref="Q61:Q62"/>
    <mergeCell ref="M72:M75"/>
    <mergeCell ref="N61:N62"/>
    <mergeCell ref="O61:O62"/>
    <mergeCell ref="N64:N66"/>
    <mergeCell ref="O64:O66"/>
    <mergeCell ref="N70:N71"/>
    <mergeCell ref="O70:O71"/>
    <mergeCell ref="N72:N75"/>
    <mergeCell ref="O72:O75"/>
    <mergeCell ref="N76:N80"/>
    <mergeCell ref="O76:O80"/>
    <mergeCell ref="P76:P80"/>
    <mergeCell ref="P84:P85"/>
    <mergeCell ref="L70:L71"/>
    <mergeCell ref="M76:M80"/>
    <mergeCell ref="S145:S146"/>
    <mergeCell ref="L96:L98"/>
    <mergeCell ref="L101:L106"/>
    <mergeCell ref="A145:A146"/>
    <mergeCell ref="B145:B146"/>
    <mergeCell ref="A142:A143"/>
    <mergeCell ref="B142:B143"/>
    <mergeCell ref="C142:C143"/>
    <mergeCell ref="A139:A140"/>
    <mergeCell ref="M107:M110"/>
    <mergeCell ref="M136:M137"/>
    <mergeCell ref="R107:R110"/>
    <mergeCell ref="Q101:Q106"/>
    <mergeCell ref="S96:S98"/>
    <mergeCell ref="S101:S106"/>
    <mergeCell ref="S107:S110"/>
    <mergeCell ref="P107:P110"/>
    <mergeCell ref="P112:P115"/>
    <mergeCell ref="Q112:Q115"/>
    <mergeCell ref="R112:R115"/>
    <mergeCell ref="K139:K140"/>
    <mergeCell ref="B136:B137"/>
    <mergeCell ref="C145:C146"/>
    <mergeCell ref="A112:A115"/>
    <mergeCell ref="S84:S85"/>
    <mergeCell ref="C136:C137"/>
    <mergeCell ref="K136:K137"/>
    <mergeCell ref="L136:L137"/>
    <mergeCell ref="M147:M148"/>
    <mergeCell ref="M142:M143"/>
    <mergeCell ref="P139:P140"/>
    <mergeCell ref="Q139:Q140"/>
    <mergeCell ref="M139:M140"/>
    <mergeCell ref="M145:M146"/>
    <mergeCell ref="Q142:Q143"/>
    <mergeCell ref="P142:P143"/>
    <mergeCell ref="K147:K148"/>
    <mergeCell ref="Q145:Q146"/>
    <mergeCell ref="Q86:Q87"/>
    <mergeCell ref="R86:R87"/>
    <mergeCell ref="P136:P137"/>
    <mergeCell ref="Q136:Q137"/>
    <mergeCell ref="R136:R137"/>
    <mergeCell ref="Q88:Q89"/>
    <mergeCell ref="R96:R98"/>
    <mergeCell ref="R88:R89"/>
    <mergeCell ref="Q96:Q98"/>
    <mergeCell ref="S142:S143"/>
    <mergeCell ref="B195:D195"/>
    <mergeCell ref="S28:S29"/>
    <mergeCell ref="S32:S33"/>
    <mergeCell ref="S41:S44"/>
    <mergeCell ref="S45:S48"/>
    <mergeCell ref="S49:S50"/>
    <mergeCell ref="S51:S52"/>
    <mergeCell ref="S53:S58"/>
    <mergeCell ref="S59:S60"/>
    <mergeCell ref="S61:S62"/>
    <mergeCell ref="S64:S66"/>
    <mergeCell ref="S70:S71"/>
    <mergeCell ref="S72:S75"/>
    <mergeCell ref="S76:S80"/>
    <mergeCell ref="S82:S83"/>
    <mergeCell ref="S86:S87"/>
    <mergeCell ref="P178:P179"/>
    <mergeCell ref="Q178:Q179"/>
    <mergeCell ref="S175:S176"/>
    <mergeCell ref="P157:P158"/>
    <mergeCell ref="Q157:Q158"/>
    <mergeCell ref="R157:R158"/>
    <mergeCell ref="S178:S179"/>
    <mergeCell ref="K178:K179"/>
    <mergeCell ref="R178:R179"/>
    <mergeCell ref="P168:P170"/>
    <mergeCell ref="Q168:Q170"/>
    <mergeCell ref="Q163:Q164"/>
    <mergeCell ref="R163:R164"/>
    <mergeCell ref="Q159:Q160"/>
    <mergeCell ref="S166:S170"/>
    <mergeCell ref="Q161:Q162"/>
    <mergeCell ref="R161:R162"/>
    <mergeCell ref="S171:S173"/>
    <mergeCell ref="R159:R160"/>
    <mergeCell ref="P172:P173"/>
    <mergeCell ref="Q172:Q173"/>
    <mergeCell ref="R172:R173"/>
    <mergeCell ref="P175:P176"/>
    <mergeCell ref="Q175:Q176"/>
    <mergeCell ref="R175:R176"/>
    <mergeCell ref="R168:R170"/>
    <mergeCell ref="S147:S164"/>
    <mergeCell ref="Q166:Q167"/>
    <mergeCell ref="R166:R167"/>
    <mergeCell ref="Q155:Q156"/>
    <mergeCell ref="R155:R156"/>
    <mergeCell ref="P163:P164"/>
    <mergeCell ref="P159:P160"/>
    <mergeCell ref="N161:N162"/>
    <mergeCell ref="O161:O162"/>
    <mergeCell ref="N163:N164"/>
    <mergeCell ref="O163:O164"/>
    <mergeCell ref="R147:R148"/>
    <mergeCell ref="P147:P148"/>
    <mergeCell ref="P145:P146"/>
    <mergeCell ref="O145:O146"/>
    <mergeCell ref="N145:N146"/>
    <mergeCell ref="N153:N154"/>
    <mergeCell ref="O153:O154"/>
    <mergeCell ref="N155:N156"/>
    <mergeCell ref="O149:O152"/>
    <mergeCell ref="N149:N152"/>
    <mergeCell ref="R145:R146"/>
    <mergeCell ref="Q153:Q154"/>
    <mergeCell ref="R153:R154"/>
    <mergeCell ref="Q149:Q152"/>
    <mergeCell ref="R149:R152"/>
    <mergeCell ref="Q147:Q148"/>
    <mergeCell ref="A186:D186"/>
    <mergeCell ref="M86:M87"/>
    <mergeCell ref="M112:M115"/>
    <mergeCell ref="N86:N87"/>
    <mergeCell ref="O86:O87"/>
    <mergeCell ref="A41:A44"/>
    <mergeCell ref="M172:M173"/>
    <mergeCell ref="A18:S18"/>
    <mergeCell ref="Q76:Q80"/>
    <mergeCell ref="Q72:Q75"/>
    <mergeCell ref="R82:R83"/>
    <mergeCell ref="P82:P83"/>
    <mergeCell ref="Q82:Q83"/>
    <mergeCell ref="Q84:Q85"/>
    <mergeCell ref="R84:R85"/>
    <mergeCell ref="P67:P69"/>
    <mergeCell ref="Q67:Q69"/>
    <mergeCell ref="K21:K22"/>
    <mergeCell ref="C21:C22"/>
    <mergeCell ref="D21:D22"/>
    <mergeCell ref="E21:E22"/>
    <mergeCell ref="F21:F22"/>
    <mergeCell ref="A166:A167"/>
    <mergeCell ref="B166:B167"/>
    <mergeCell ref="O166:O167"/>
    <mergeCell ref="L35:L38"/>
    <mergeCell ref="K64:K66"/>
    <mergeCell ref="L112:L115"/>
    <mergeCell ref="L142:L143"/>
    <mergeCell ref="A188:D188"/>
    <mergeCell ref="A189:D189"/>
    <mergeCell ref="A190:D190"/>
    <mergeCell ref="N168:N170"/>
    <mergeCell ref="O168:O170"/>
    <mergeCell ref="N96:N98"/>
    <mergeCell ref="O96:O98"/>
    <mergeCell ref="N101:N106"/>
    <mergeCell ref="O101:O106"/>
    <mergeCell ref="N112:N115"/>
    <mergeCell ref="O112:O115"/>
    <mergeCell ref="N139:N140"/>
    <mergeCell ref="O139:O140"/>
    <mergeCell ref="K171:O171"/>
    <mergeCell ref="A181:D181"/>
    <mergeCell ref="A182:D182"/>
    <mergeCell ref="A183:D183"/>
    <mergeCell ref="A184:D184"/>
    <mergeCell ref="A185:D185"/>
    <mergeCell ref="U21:U22"/>
    <mergeCell ref="K23:U23"/>
    <mergeCell ref="U24:U25"/>
    <mergeCell ref="U32:U33"/>
    <mergeCell ref="K34:U34"/>
    <mergeCell ref="U35:U38"/>
    <mergeCell ref="U41:U44"/>
    <mergeCell ref="U45:U48"/>
    <mergeCell ref="U49:U50"/>
    <mergeCell ref="N21:O21"/>
    <mergeCell ref="M24:M25"/>
    <mergeCell ref="N24:N25"/>
    <mergeCell ref="O24:O25"/>
    <mergeCell ref="M26:M27"/>
    <mergeCell ref="N26:N27"/>
    <mergeCell ref="O26:O27"/>
    <mergeCell ref="N32:N33"/>
    <mergeCell ref="O32:O33"/>
    <mergeCell ref="S36:S38"/>
    <mergeCell ref="P21:R21"/>
    <mergeCell ref="S21:S22"/>
    <mergeCell ref="K28:K29"/>
    <mergeCell ref="L28:L29"/>
    <mergeCell ref="L21:L22"/>
    <mergeCell ref="U51:U52"/>
    <mergeCell ref="U53:U58"/>
    <mergeCell ref="U59:U60"/>
    <mergeCell ref="U61:U62"/>
    <mergeCell ref="K63:U63"/>
    <mergeCell ref="U64:U66"/>
    <mergeCell ref="U70:U71"/>
    <mergeCell ref="U72:U75"/>
    <mergeCell ref="U76:U80"/>
    <mergeCell ref="S67:S69"/>
    <mergeCell ref="P72:P75"/>
    <mergeCell ref="R61:R62"/>
    <mergeCell ref="Q64:Q66"/>
    <mergeCell ref="R64:R66"/>
    <mergeCell ref="P64:P66"/>
    <mergeCell ref="P70:P71"/>
    <mergeCell ref="Q70:Q71"/>
    <mergeCell ref="R67:R69"/>
    <mergeCell ref="R76:R80"/>
    <mergeCell ref="R70:R71"/>
    <mergeCell ref="R72:R75"/>
    <mergeCell ref="L51:L52"/>
    <mergeCell ref="M51:M52"/>
    <mergeCell ref="P51:P52"/>
    <mergeCell ref="U86:U87"/>
    <mergeCell ref="U96:U98"/>
    <mergeCell ref="U101:U106"/>
    <mergeCell ref="K111:U111"/>
    <mergeCell ref="U112:U115"/>
    <mergeCell ref="K138:U138"/>
    <mergeCell ref="U139:U140"/>
    <mergeCell ref="K144:U144"/>
    <mergeCell ref="U145:U146"/>
    <mergeCell ref="S112:S115"/>
    <mergeCell ref="S139:S140"/>
    <mergeCell ref="R142:R143"/>
    <mergeCell ref="R139:R140"/>
    <mergeCell ref="S136:S137"/>
    <mergeCell ref="P86:P87"/>
    <mergeCell ref="M96:M98"/>
    <mergeCell ref="M101:M106"/>
    <mergeCell ref="K101:K106"/>
    <mergeCell ref="M90:M92"/>
    <mergeCell ref="P90:P92"/>
    <mergeCell ref="S88:S89"/>
    <mergeCell ref="M88:M89"/>
    <mergeCell ref="P88:P89"/>
    <mergeCell ref="S90:S92"/>
    <mergeCell ref="U168:U170"/>
    <mergeCell ref="U172:U173"/>
    <mergeCell ref="K174:U174"/>
    <mergeCell ref="U175:U176"/>
    <mergeCell ref="K177:U177"/>
    <mergeCell ref="U178:U179"/>
    <mergeCell ref="N180:U180"/>
    <mergeCell ref="U149:U152"/>
    <mergeCell ref="U153:U154"/>
    <mergeCell ref="U155:U156"/>
    <mergeCell ref="U157:U158"/>
    <mergeCell ref="U159:U160"/>
    <mergeCell ref="U161:U162"/>
    <mergeCell ref="U163:U164"/>
    <mergeCell ref="K165:U165"/>
    <mergeCell ref="U166:U167"/>
    <mergeCell ref="L175:L176"/>
    <mergeCell ref="M175:M176"/>
    <mergeCell ref="L178:L179"/>
    <mergeCell ref="M178:M179"/>
    <mergeCell ref="N178:N179"/>
    <mergeCell ref="O178:O179"/>
    <mergeCell ref="N175:N176"/>
    <mergeCell ref="O175:O176"/>
  </mergeCells>
  <conditionalFormatting sqref="E21:H21">
    <cfRule type="dataBar" priority="1">
      <dataBar>
        <cfvo type="min"/>
        <cfvo type="max"/>
        <color rgb="FF638EC6"/>
      </dataBar>
      <extLst>
        <ext xmlns:x14="http://schemas.microsoft.com/office/spreadsheetml/2009/9/main" uri="{B025F937-C7B1-47D3-B67F-A62EFF666E3E}">
          <x14:id>{A9BBAC61-F97F-40F3-9E65-B69F3746DCAA}</x14:id>
        </ext>
      </extLst>
    </cfRule>
  </conditionalFormatting>
  <conditionalFormatting sqref="I21:K21 I22">
    <cfRule type="dataBar" priority="36">
      <dataBar>
        <cfvo type="min"/>
        <cfvo type="max"/>
        <color rgb="FF638EC6"/>
      </dataBar>
      <extLst>
        <ext xmlns:x14="http://schemas.microsoft.com/office/spreadsheetml/2009/9/main" uri="{B025F937-C7B1-47D3-B67F-A62EFF666E3E}">
          <x14:id>{343C4AEC-2D81-485D-8AD5-A6BBEE40984A}</x14:id>
        </ext>
      </extLst>
    </cfRule>
  </conditionalFormatting>
  <pageMargins left="0.7" right="0.7" top="0.75" bottom="0.75" header="0.3" footer="0.3"/>
  <pageSetup paperSize="8" scale="70"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A9BBAC61-F97F-40F3-9E65-B69F3746DCAA}">
            <x14:dataBar minLength="0" maxLength="100" border="1" negativeBarBorderColorSameAsPositive="0">
              <x14:cfvo type="autoMin"/>
              <x14:cfvo type="autoMax"/>
              <x14:borderColor rgb="FF638EC6"/>
              <x14:negativeFillColor rgb="FFFF0000"/>
              <x14:negativeBorderColor rgb="FFFF0000"/>
              <x14:axisColor rgb="FF000000"/>
            </x14:dataBar>
          </x14:cfRule>
          <xm:sqref>E21:H21</xm:sqref>
        </x14:conditionalFormatting>
        <x14:conditionalFormatting xmlns:xm="http://schemas.microsoft.com/office/excel/2006/main">
          <x14:cfRule type="dataBar" id="{343C4AEC-2D81-485D-8AD5-A6BBEE40984A}">
            <x14:dataBar minLength="0" maxLength="100" border="1" negativeBarBorderColorSameAsPositive="0">
              <x14:cfvo type="autoMin"/>
              <x14:cfvo type="autoMax"/>
              <x14:borderColor rgb="FF638EC6"/>
              <x14:negativeFillColor rgb="FFFF0000"/>
              <x14:negativeBorderColor rgb="FFFF0000"/>
              <x14:axisColor rgb="FF000000"/>
            </x14:dataBar>
          </x14:cfRule>
          <xm:sqref>I21:K21 I22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C5A6B-838E-42D6-85DD-C63DC50AA0CF}">
  <sheetPr codeName="Lapas19"/>
  <dimension ref="A1:G199"/>
  <sheetViews>
    <sheetView zoomScale="130" zoomScaleNormal="130" workbookViewId="0">
      <pane xSplit="2" ySplit="5" topLeftCell="C189" activePane="bottomRight" state="frozen"/>
      <selection pane="topRight" activeCell="C1" sqref="C1"/>
      <selection pane="bottomLeft" activeCell="A3" sqref="A3"/>
      <selection pane="bottomRight" activeCell="C98" sqref="C98:C99"/>
    </sheetView>
  </sheetViews>
  <sheetFormatPr defaultColWidth="8.84375" defaultRowHeight="34.950000000000003" customHeight="1"/>
  <cols>
    <col min="1" max="1" width="7.69140625" style="603" customWidth="1"/>
    <col min="2" max="2" width="12" style="603" customWidth="1"/>
    <col min="3" max="3" width="45.69140625" style="603" customWidth="1"/>
    <col min="4" max="4" width="44.53515625" style="603" customWidth="1"/>
    <col min="5" max="5" width="30.3828125" style="603" customWidth="1"/>
    <col min="6" max="6" width="28" style="603" customWidth="1"/>
    <col min="7" max="16384" width="8.84375" style="603"/>
  </cols>
  <sheetData>
    <row r="1" spans="1:6" ht="43.5" customHeight="1">
      <c r="A1" s="2254" t="s">
        <v>3519</v>
      </c>
      <c r="B1" s="2254"/>
      <c r="C1" s="2254"/>
      <c r="D1" s="2254"/>
      <c r="E1" s="2254"/>
      <c r="F1" s="2254"/>
    </row>
    <row r="2" spans="1:6" ht="54" customHeight="1">
      <c r="A2" s="1465" t="s">
        <v>984</v>
      </c>
      <c r="B2" s="1465" t="s">
        <v>3125</v>
      </c>
      <c r="C2" s="1465" t="s">
        <v>3126</v>
      </c>
      <c r="D2" s="1465" t="s">
        <v>997</v>
      </c>
      <c r="E2" s="1465" t="s">
        <v>3221</v>
      </c>
      <c r="F2" s="1465" t="s">
        <v>3222</v>
      </c>
    </row>
    <row r="3" spans="1:6" ht="26.25" customHeight="1">
      <c r="A3" s="1691" t="s">
        <v>998</v>
      </c>
      <c r="B3" s="1691" t="s">
        <v>3127</v>
      </c>
      <c r="C3" s="2245" t="s">
        <v>3717</v>
      </c>
      <c r="D3" s="2245"/>
      <c r="E3" s="2245"/>
      <c r="F3" s="2245"/>
    </row>
    <row r="4" spans="1:6" ht="11.6">
      <c r="A4" s="1691"/>
      <c r="B4" s="1691"/>
      <c r="C4" s="1466" t="s">
        <v>3128</v>
      </c>
      <c r="D4" s="1466" t="s">
        <v>3128</v>
      </c>
      <c r="E4" s="1466" t="s">
        <v>3128</v>
      </c>
      <c r="F4" s="1466" t="s">
        <v>3128</v>
      </c>
    </row>
    <row r="5" spans="1:6" ht="19.5" customHeight="1">
      <c r="A5" s="1691"/>
      <c r="B5" s="1691"/>
      <c r="C5" s="2246" t="s">
        <v>3129</v>
      </c>
      <c r="D5" s="2246"/>
      <c r="E5" s="2246"/>
      <c r="F5" s="2246"/>
    </row>
    <row r="6" spans="1:6" ht="37.5" customHeight="1">
      <c r="A6" s="1691"/>
      <c r="B6" s="1691"/>
      <c r="C6" s="442" t="s">
        <v>3124</v>
      </c>
      <c r="D6" s="442" t="s">
        <v>999</v>
      </c>
      <c r="E6" s="442">
        <v>620</v>
      </c>
      <c r="F6" s="442">
        <v>572</v>
      </c>
    </row>
    <row r="7" spans="1:6" ht="47.5" customHeight="1">
      <c r="A7" s="1691"/>
      <c r="B7" s="1691"/>
      <c r="C7" s="442" t="s">
        <v>3130</v>
      </c>
      <c r="D7" s="442" t="s">
        <v>1000</v>
      </c>
      <c r="E7" s="442" t="s">
        <v>1001</v>
      </c>
      <c r="F7" s="442" t="s">
        <v>3303</v>
      </c>
    </row>
    <row r="8" spans="1:6" ht="31.5" customHeight="1">
      <c r="A8" s="1691"/>
      <c r="B8" s="1691"/>
      <c r="C8" s="442" t="s">
        <v>3131</v>
      </c>
      <c r="D8" s="442" t="s">
        <v>1002</v>
      </c>
      <c r="E8" s="442">
        <v>320</v>
      </c>
      <c r="F8" s="442" t="s">
        <v>3304</v>
      </c>
    </row>
    <row r="9" spans="1:6" ht="57" customHeight="1">
      <c r="A9" s="1691"/>
      <c r="B9" s="1691"/>
      <c r="C9" s="442" t="s">
        <v>3132</v>
      </c>
      <c r="D9" s="442" t="s">
        <v>1003</v>
      </c>
      <c r="E9" s="442">
        <v>11</v>
      </c>
      <c r="F9" s="442" t="s">
        <v>3305</v>
      </c>
    </row>
    <row r="10" spans="1:6" ht="42.75" customHeight="1">
      <c r="A10" s="1691"/>
      <c r="B10" s="1691"/>
      <c r="C10" s="442" t="s">
        <v>3133</v>
      </c>
      <c r="D10" s="442" t="s">
        <v>1004</v>
      </c>
      <c r="E10" s="442">
        <v>13</v>
      </c>
      <c r="F10" s="442" t="s">
        <v>3271</v>
      </c>
    </row>
    <row r="11" spans="1:6" ht="44.5" customHeight="1">
      <c r="A11" s="1691"/>
      <c r="B11" s="1691"/>
      <c r="C11" s="442" t="s">
        <v>3134</v>
      </c>
      <c r="D11" s="442" t="s">
        <v>1004</v>
      </c>
      <c r="E11" s="442">
        <v>2</v>
      </c>
      <c r="F11" s="442" t="s">
        <v>3271</v>
      </c>
    </row>
    <row r="12" spans="1:6" ht="46.2" customHeight="1">
      <c r="A12" s="1691"/>
      <c r="B12" s="1691"/>
      <c r="C12" s="1860" t="s">
        <v>3135</v>
      </c>
      <c r="D12" s="442" t="s">
        <v>1005</v>
      </c>
      <c r="E12" s="442">
        <v>1</v>
      </c>
      <c r="F12" s="442" t="s">
        <v>3306</v>
      </c>
    </row>
    <row r="13" spans="1:6" ht="31.2" customHeight="1">
      <c r="A13" s="1691"/>
      <c r="B13" s="1691"/>
      <c r="C13" s="1860"/>
      <c r="D13" s="442" t="s">
        <v>1006</v>
      </c>
      <c r="E13" s="442" t="s">
        <v>1008</v>
      </c>
      <c r="F13" s="442" t="s">
        <v>3307</v>
      </c>
    </row>
    <row r="14" spans="1:6" ht="42.75" customHeight="1">
      <c r="A14" s="1691"/>
      <c r="B14" s="1691"/>
      <c r="C14" s="1860" t="s">
        <v>3136</v>
      </c>
      <c r="D14" s="442" t="s">
        <v>1009</v>
      </c>
      <c r="E14" s="442" t="s">
        <v>1010</v>
      </c>
      <c r="F14" s="442" t="s">
        <v>3308</v>
      </c>
    </row>
    <row r="15" spans="1:6" ht="38.25" customHeight="1">
      <c r="A15" s="1691"/>
      <c r="B15" s="1691"/>
      <c r="C15" s="1860"/>
      <c r="D15" s="442" t="s">
        <v>1011</v>
      </c>
      <c r="E15" s="442">
        <v>1</v>
      </c>
      <c r="F15" s="442" t="s">
        <v>3306</v>
      </c>
    </row>
    <row r="16" spans="1:6" ht="60" customHeight="1">
      <c r="A16" s="1691"/>
      <c r="B16" s="1691"/>
      <c r="C16" s="1861" t="s">
        <v>3137</v>
      </c>
      <c r="D16" s="442" t="s">
        <v>1012</v>
      </c>
      <c r="E16" s="442" t="s">
        <v>1013</v>
      </c>
      <c r="F16" s="442" t="s">
        <v>3309</v>
      </c>
    </row>
    <row r="17" spans="1:7" ht="43.5" customHeight="1">
      <c r="A17" s="1691"/>
      <c r="B17" s="1691"/>
      <c r="C17" s="1862"/>
      <c r="D17" s="442" t="s">
        <v>1015</v>
      </c>
      <c r="E17" s="442">
        <v>50</v>
      </c>
      <c r="F17" s="442" t="s">
        <v>770</v>
      </c>
    </row>
    <row r="18" spans="1:7" ht="34.75">
      <c r="A18" s="1691"/>
      <c r="B18" s="1691"/>
      <c r="C18" s="442" t="s">
        <v>3138</v>
      </c>
      <c r="D18" s="442" t="s">
        <v>1016</v>
      </c>
      <c r="E18" s="442">
        <v>40</v>
      </c>
      <c r="F18" s="442" t="s">
        <v>3310</v>
      </c>
    </row>
    <row r="19" spans="1:7" ht="27.75" customHeight="1">
      <c r="A19" s="1467"/>
      <c r="B19" s="1468"/>
      <c r="C19" s="1468"/>
      <c r="D19" s="1468"/>
      <c r="E19" s="1468"/>
      <c r="F19" s="1468"/>
    </row>
    <row r="20" spans="1:7" ht="26.25" customHeight="1">
      <c r="A20" s="1691" t="s">
        <v>1046</v>
      </c>
      <c r="B20" s="1691" t="s">
        <v>3139</v>
      </c>
      <c r="C20" s="2245" t="s">
        <v>3717</v>
      </c>
      <c r="D20" s="2245"/>
      <c r="E20" s="2245"/>
      <c r="F20" s="2245"/>
    </row>
    <row r="21" spans="1:7" ht="11.6">
      <c r="A21" s="1691"/>
      <c r="B21" s="1691"/>
      <c r="C21" s="1466" t="s">
        <v>3128</v>
      </c>
      <c r="D21" s="1466" t="s">
        <v>3128</v>
      </c>
      <c r="E21" s="1466" t="s">
        <v>3128</v>
      </c>
      <c r="F21" s="1466" t="s">
        <v>3128</v>
      </c>
    </row>
    <row r="22" spans="1:7" ht="24.75" customHeight="1">
      <c r="A22" s="1691"/>
      <c r="B22" s="1691"/>
      <c r="C22" s="2246" t="s">
        <v>3129</v>
      </c>
      <c r="D22" s="2246"/>
      <c r="E22" s="2246"/>
      <c r="F22" s="2246"/>
    </row>
    <row r="23" spans="1:7" ht="24" customHeight="1">
      <c r="A23" s="1691"/>
      <c r="B23" s="1691"/>
      <c r="C23" s="442" t="s">
        <v>3140</v>
      </c>
      <c r="D23" s="442" t="s">
        <v>1017</v>
      </c>
      <c r="E23" s="442">
        <v>75</v>
      </c>
      <c r="F23" s="442" t="s">
        <v>3314</v>
      </c>
      <c r="G23" s="1449"/>
    </row>
    <row r="24" spans="1:7" ht="38.25" customHeight="1">
      <c r="A24" s="1691"/>
      <c r="B24" s="1691"/>
      <c r="C24" s="1860" t="s">
        <v>3130</v>
      </c>
      <c r="D24" s="1860" t="s">
        <v>1000</v>
      </c>
      <c r="E24" s="1861" t="s">
        <v>1001</v>
      </c>
      <c r="F24" s="1860" t="s">
        <v>3315</v>
      </c>
      <c r="G24" s="1449"/>
    </row>
    <row r="25" spans="1:7" ht="11.6">
      <c r="A25" s="1691"/>
      <c r="B25" s="1691"/>
      <c r="C25" s="1860"/>
      <c r="D25" s="1860"/>
      <c r="E25" s="1862"/>
      <c r="F25" s="1860"/>
      <c r="G25" s="1449"/>
    </row>
    <row r="26" spans="1:7" ht="23.15">
      <c r="A26" s="1691"/>
      <c r="B26" s="1691"/>
      <c r="C26" s="442" t="s">
        <v>3141</v>
      </c>
      <c r="D26" s="442" t="s">
        <v>1017</v>
      </c>
      <c r="E26" s="442">
        <v>50</v>
      </c>
      <c r="F26" s="442" t="s">
        <v>3316</v>
      </c>
      <c r="G26" s="1449"/>
    </row>
    <row r="27" spans="1:7" ht="18" customHeight="1">
      <c r="A27" s="1691"/>
      <c r="B27" s="1691"/>
      <c r="C27" s="442" t="s">
        <v>3142</v>
      </c>
      <c r="D27" s="442" t="s">
        <v>3143</v>
      </c>
      <c r="E27" s="442">
        <v>1</v>
      </c>
      <c r="F27" s="442" t="s">
        <v>3317</v>
      </c>
      <c r="G27" s="1449"/>
    </row>
    <row r="28" spans="1:7" ht="22.5" customHeight="1">
      <c r="A28" s="1691"/>
      <c r="B28" s="1691"/>
      <c r="C28" s="442" t="s">
        <v>3144</v>
      </c>
      <c r="D28" s="442" t="s">
        <v>3143</v>
      </c>
      <c r="E28" s="442">
        <v>2</v>
      </c>
      <c r="F28" s="442" t="s">
        <v>3317</v>
      </c>
      <c r="G28" s="1449"/>
    </row>
    <row r="29" spans="1:7" ht="49.95" customHeight="1">
      <c r="A29" s="1691"/>
      <c r="B29" s="1691"/>
      <c r="C29" s="442" t="s">
        <v>3145</v>
      </c>
      <c r="D29" s="442" t="s">
        <v>1018</v>
      </c>
      <c r="E29" s="442">
        <v>9</v>
      </c>
      <c r="F29" s="442" t="s">
        <v>3318</v>
      </c>
      <c r="G29" s="1449"/>
    </row>
    <row r="30" spans="1:7" ht="23.15">
      <c r="A30" s="1691"/>
      <c r="B30" s="1691"/>
      <c r="C30" s="442" t="s">
        <v>3133</v>
      </c>
      <c r="D30" s="442" t="s">
        <v>1004</v>
      </c>
      <c r="E30" s="442">
        <v>1</v>
      </c>
      <c r="F30" s="442" t="s">
        <v>3319</v>
      </c>
      <c r="G30" s="1449"/>
    </row>
    <row r="31" spans="1:7" ht="34.75">
      <c r="A31" s="1691"/>
      <c r="B31" s="1691"/>
      <c r="C31" s="442" t="s">
        <v>3134</v>
      </c>
      <c r="D31" s="442" t="s">
        <v>1004</v>
      </c>
      <c r="E31" s="442">
        <v>0</v>
      </c>
      <c r="F31" s="442" t="s">
        <v>3320</v>
      </c>
      <c r="G31" s="1449"/>
    </row>
    <row r="32" spans="1:7" ht="52.95" customHeight="1">
      <c r="A32" s="1691"/>
      <c r="B32" s="1691"/>
      <c r="C32" s="1860" t="s">
        <v>3135</v>
      </c>
      <c r="D32" s="442" t="s">
        <v>1005</v>
      </c>
      <c r="E32" s="442">
        <v>3</v>
      </c>
      <c r="F32" s="442" t="s">
        <v>3320</v>
      </c>
      <c r="G32" s="1449"/>
    </row>
    <row r="33" spans="1:7" ht="33.75" customHeight="1">
      <c r="A33" s="1691"/>
      <c r="B33" s="1691"/>
      <c r="C33" s="1860"/>
      <c r="D33" s="442" t="s">
        <v>1006</v>
      </c>
      <c r="E33" s="442" t="s">
        <v>1019</v>
      </c>
      <c r="F33" s="442" t="s">
        <v>3320</v>
      </c>
      <c r="G33" s="1449"/>
    </row>
    <row r="34" spans="1:7" ht="23.15">
      <c r="A34" s="1691"/>
      <c r="B34" s="1691"/>
      <c r="C34" s="1860" t="s">
        <v>3136</v>
      </c>
      <c r="D34" s="442" t="s">
        <v>1009</v>
      </c>
      <c r="E34" s="442" t="s">
        <v>3146</v>
      </c>
      <c r="F34" s="442" t="s">
        <v>3321</v>
      </c>
      <c r="G34" s="1449"/>
    </row>
    <row r="35" spans="1:7" ht="23.25" customHeight="1">
      <c r="A35" s="1691"/>
      <c r="B35" s="1691"/>
      <c r="C35" s="1860"/>
      <c r="D35" s="442" t="s">
        <v>1011</v>
      </c>
      <c r="E35" s="442">
        <v>4</v>
      </c>
      <c r="F35" s="442" t="s">
        <v>3322</v>
      </c>
      <c r="G35" s="1449"/>
    </row>
    <row r="36" spans="1:7" ht="56.5" customHeight="1">
      <c r="A36" s="1691"/>
      <c r="B36" s="1691"/>
      <c r="C36" s="1692" t="s">
        <v>3137</v>
      </c>
      <c r="D36" s="628" t="s">
        <v>1012</v>
      </c>
      <c r="E36" s="628" t="s">
        <v>1021</v>
      </c>
      <c r="F36" s="442" t="s">
        <v>3315</v>
      </c>
      <c r="G36" s="1449"/>
    </row>
    <row r="37" spans="1:7" ht="23.15">
      <c r="A37" s="1691"/>
      <c r="B37" s="1691"/>
      <c r="C37" s="1692"/>
      <c r="D37" s="628" t="s">
        <v>1015</v>
      </c>
      <c r="E37" s="628">
        <v>55</v>
      </c>
      <c r="F37" s="442" t="s">
        <v>3323</v>
      </c>
      <c r="G37" s="1449"/>
    </row>
    <row r="38" spans="1:7" ht="20.25" customHeight="1">
      <c r="A38" s="1691"/>
      <c r="B38" s="1691"/>
      <c r="C38" s="442" t="s">
        <v>3147</v>
      </c>
      <c r="D38" s="442" t="s">
        <v>1023</v>
      </c>
      <c r="E38" s="442">
        <v>1</v>
      </c>
      <c r="F38" s="442" t="s">
        <v>3317</v>
      </c>
      <c r="G38" s="1449"/>
    </row>
    <row r="39" spans="1:7" ht="25.5" customHeight="1">
      <c r="A39" s="1691"/>
      <c r="B39" s="1691"/>
      <c r="C39" s="442" t="s">
        <v>3148</v>
      </c>
      <c r="D39" s="442" t="s">
        <v>1023</v>
      </c>
      <c r="E39" s="442">
        <v>0</v>
      </c>
      <c r="F39" s="442" t="s">
        <v>3320</v>
      </c>
      <c r="G39" s="1449"/>
    </row>
    <row r="40" spans="1:7" ht="22.5" customHeight="1">
      <c r="A40" s="1467"/>
      <c r="B40" s="1468"/>
      <c r="C40" s="1468"/>
      <c r="D40" s="1468"/>
      <c r="E40" s="1468"/>
      <c r="F40" s="1468"/>
    </row>
    <row r="41" spans="1:7" ht="33" customHeight="1">
      <c r="A41" s="1691" t="s">
        <v>1047</v>
      </c>
      <c r="B41" s="1691" t="s">
        <v>3149</v>
      </c>
      <c r="C41" s="2245" t="s">
        <v>3718</v>
      </c>
      <c r="D41" s="2245"/>
      <c r="E41" s="2245"/>
      <c r="F41" s="2245"/>
    </row>
    <row r="42" spans="1:7" ht="12.75" customHeight="1">
      <c r="A42" s="1691"/>
      <c r="B42" s="1691"/>
      <c r="C42" s="1466" t="s">
        <v>173</v>
      </c>
      <c r="D42" s="1466" t="s">
        <v>173</v>
      </c>
      <c r="E42" s="1466" t="s">
        <v>173</v>
      </c>
      <c r="F42" s="1466" t="s">
        <v>173</v>
      </c>
    </row>
    <row r="43" spans="1:7" ht="26.25" customHeight="1">
      <c r="A43" s="1691"/>
      <c r="B43" s="1691"/>
      <c r="C43" s="2246" t="s">
        <v>3129</v>
      </c>
      <c r="D43" s="2246"/>
      <c r="E43" s="2246"/>
      <c r="F43" s="2246"/>
    </row>
    <row r="44" spans="1:7" ht="11.6">
      <c r="A44" s="1691"/>
      <c r="B44" s="1691"/>
      <c r="C44" s="442" t="s">
        <v>3150</v>
      </c>
      <c r="D44" s="442" t="s">
        <v>1017</v>
      </c>
      <c r="E44" s="442">
        <v>55</v>
      </c>
      <c r="F44" s="442">
        <v>85</v>
      </c>
    </row>
    <row r="45" spans="1:7" ht="48" customHeight="1">
      <c r="A45" s="1691"/>
      <c r="B45" s="1691"/>
      <c r="C45" s="442" t="s">
        <v>3130</v>
      </c>
      <c r="D45" s="442" t="s">
        <v>1000</v>
      </c>
      <c r="E45" s="442" t="s">
        <v>1001</v>
      </c>
      <c r="F45" s="442">
        <v>100</v>
      </c>
    </row>
    <row r="46" spans="1:7" ht="23.15">
      <c r="A46" s="1691"/>
      <c r="B46" s="1691"/>
      <c r="C46" s="442" t="s">
        <v>3151</v>
      </c>
      <c r="D46" s="442" t="s">
        <v>1024</v>
      </c>
      <c r="E46" s="442" t="s">
        <v>1025</v>
      </c>
      <c r="F46" s="442">
        <v>55</v>
      </c>
    </row>
    <row r="47" spans="1:7" ht="34.75">
      <c r="A47" s="1691"/>
      <c r="B47" s="1691"/>
      <c r="C47" s="442" t="s">
        <v>3152</v>
      </c>
      <c r="D47" s="442" t="s">
        <v>1018</v>
      </c>
      <c r="E47" s="442">
        <v>2</v>
      </c>
      <c r="F47" s="442">
        <v>2</v>
      </c>
    </row>
    <row r="48" spans="1:7" ht="23.15">
      <c r="A48" s="1691"/>
      <c r="B48" s="1691"/>
      <c r="C48" s="442" t="s">
        <v>3133</v>
      </c>
      <c r="D48" s="442" t="s">
        <v>1004</v>
      </c>
      <c r="E48" s="442">
        <v>1</v>
      </c>
      <c r="F48" s="442">
        <v>1</v>
      </c>
    </row>
    <row r="49" spans="1:7" ht="34.75">
      <c r="A49" s="1691"/>
      <c r="B49" s="1691"/>
      <c r="C49" s="442" t="s">
        <v>3134</v>
      </c>
      <c r="D49" s="442" t="s">
        <v>1004</v>
      </c>
      <c r="E49" s="442">
        <v>1</v>
      </c>
      <c r="F49" s="442">
        <v>1</v>
      </c>
    </row>
    <row r="50" spans="1:7" ht="69" customHeight="1">
      <c r="A50" s="1691"/>
      <c r="B50" s="1691"/>
      <c r="C50" s="1860" t="s">
        <v>3135</v>
      </c>
      <c r="D50" s="442" t="s">
        <v>1005</v>
      </c>
      <c r="E50" s="442">
        <v>0</v>
      </c>
      <c r="F50" s="442">
        <v>0</v>
      </c>
    </row>
    <row r="51" spans="1:7" ht="34.5" customHeight="1">
      <c r="A51" s="1691"/>
      <c r="B51" s="1691"/>
      <c r="C51" s="1860"/>
      <c r="D51" s="442" t="s">
        <v>1006</v>
      </c>
      <c r="E51" s="442">
        <v>10</v>
      </c>
      <c r="F51" s="442">
        <v>10.050000000000001</v>
      </c>
    </row>
    <row r="52" spans="1:7" ht="36.75" customHeight="1">
      <c r="A52" s="1691"/>
      <c r="B52" s="1691"/>
      <c r="C52" s="1860" t="s">
        <v>3136</v>
      </c>
      <c r="D52" s="442" t="s">
        <v>1009</v>
      </c>
      <c r="E52" s="442">
        <v>10</v>
      </c>
      <c r="F52" s="442">
        <v>7.99</v>
      </c>
    </row>
    <row r="53" spans="1:7" ht="25.5" customHeight="1">
      <c r="A53" s="1691"/>
      <c r="B53" s="1691"/>
      <c r="C53" s="1860"/>
      <c r="D53" s="442" t="s">
        <v>1011</v>
      </c>
      <c r="E53" s="442">
        <v>2</v>
      </c>
      <c r="F53" s="442">
        <v>1</v>
      </c>
    </row>
    <row r="54" spans="1:7" ht="69.75" customHeight="1">
      <c r="A54" s="1691"/>
      <c r="B54" s="1691"/>
      <c r="C54" s="1860" t="s">
        <v>3137</v>
      </c>
      <c r="D54" s="442" t="s">
        <v>1012</v>
      </c>
      <c r="E54" s="442" t="s">
        <v>1022</v>
      </c>
      <c r="F54" s="442">
        <v>100</v>
      </c>
    </row>
    <row r="55" spans="1:7" ht="35.25" customHeight="1">
      <c r="A55" s="1691"/>
      <c r="B55" s="1691"/>
      <c r="C55" s="1860"/>
      <c r="D55" s="442" t="s">
        <v>1015</v>
      </c>
      <c r="E55" s="442">
        <v>12</v>
      </c>
      <c r="F55" s="442">
        <v>12</v>
      </c>
    </row>
    <row r="56" spans="1:7" ht="26.25" customHeight="1">
      <c r="A56" s="1469"/>
      <c r="B56" s="1468"/>
      <c r="C56" s="1468"/>
      <c r="D56" s="1468"/>
      <c r="E56" s="1468"/>
      <c r="F56" s="1468"/>
    </row>
    <row r="57" spans="1:7" ht="26.25" customHeight="1">
      <c r="A57" s="1691" t="s">
        <v>1750</v>
      </c>
      <c r="B57" s="1691" t="s">
        <v>3153</v>
      </c>
      <c r="C57" s="2245" t="s">
        <v>3719</v>
      </c>
      <c r="D57" s="2245"/>
      <c r="E57" s="2245"/>
      <c r="F57" s="2245"/>
    </row>
    <row r="58" spans="1:7" ht="11.6">
      <c r="A58" s="1691"/>
      <c r="B58" s="1691"/>
      <c r="C58" s="1466" t="s">
        <v>3128</v>
      </c>
      <c r="D58" s="1466" t="s">
        <v>3128</v>
      </c>
      <c r="E58" s="1466" t="s">
        <v>3128</v>
      </c>
      <c r="F58" s="1466" t="s">
        <v>3128</v>
      </c>
    </row>
    <row r="59" spans="1:7" ht="20.25" customHeight="1">
      <c r="A59" s="1691"/>
      <c r="B59" s="1691"/>
      <c r="C59" s="2246" t="s">
        <v>3129</v>
      </c>
      <c r="D59" s="2246"/>
      <c r="E59" s="2246"/>
      <c r="F59" s="2246"/>
    </row>
    <row r="60" spans="1:7" ht="28.5" customHeight="1">
      <c r="A60" s="1691"/>
      <c r="B60" s="1691"/>
      <c r="C60" s="447" t="s">
        <v>3154</v>
      </c>
      <c r="D60" s="442" t="s">
        <v>999</v>
      </c>
      <c r="E60" s="442">
        <v>174</v>
      </c>
      <c r="F60" s="442" t="s">
        <v>3402</v>
      </c>
      <c r="G60" s="1449"/>
    </row>
    <row r="61" spans="1:7" ht="38.25" customHeight="1">
      <c r="A61" s="1691"/>
      <c r="B61" s="1691"/>
      <c r="C61" s="1860" t="s">
        <v>3130</v>
      </c>
      <c r="D61" s="1860" t="s">
        <v>1000</v>
      </c>
      <c r="E61" s="1861" t="s">
        <v>3223</v>
      </c>
      <c r="F61" s="1860" t="s">
        <v>3403</v>
      </c>
      <c r="G61" s="1449"/>
    </row>
    <row r="62" spans="1:7" ht="11.6">
      <c r="A62" s="1691"/>
      <c r="B62" s="1691"/>
      <c r="C62" s="1860"/>
      <c r="D62" s="1860"/>
      <c r="E62" s="1862"/>
      <c r="F62" s="1860"/>
      <c r="G62" s="1449"/>
    </row>
    <row r="63" spans="1:7" ht="46.3">
      <c r="A63" s="1691"/>
      <c r="B63" s="1691"/>
      <c r="C63" s="442" t="s">
        <v>3155</v>
      </c>
      <c r="D63" s="442" t="s">
        <v>1023</v>
      </c>
      <c r="E63" s="442">
        <v>7</v>
      </c>
      <c r="F63" s="442" t="s">
        <v>3404</v>
      </c>
      <c r="G63" s="1449"/>
    </row>
    <row r="64" spans="1:7" ht="34.75">
      <c r="A64" s="1691"/>
      <c r="B64" s="1691"/>
      <c r="C64" s="442" t="s">
        <v>3156</v>
      </c>
      <c r="D64" s="442" t="s">
        <v>1018</v>
      </c>
      <c r="E64" s="442">
        <v>6</v>
      </c>
      <c r="F64" s="442" t="s">
        <v>3404</v>
      </c>
      <c r="G64" s="1449"/>
    </row>
    <row r="65" spans="1:7" ht="23.15">
      <c r="A65" s="1691"/>
      <c r="B65" s="1691"/>
      <c r="C65" s="442" t="s">
        <v>3133</v>
      </c>
      <c r="D65" s="442" t="s">
        <v>1004</v>
      </c>
      <c r="E65" s="442">
        <v>1</v>
      </c>
      <c r="F65" s="442" t="s">
        <v>3405</v>
      </c>
      <c r="G65" s="1449"/>
    </row>
    <row r="66" spans="1:7" ht="34.75">
      <c r="A66" s="1691"/>
      <c r="B66" s="1691"/>
      <c r="C66" s="442" t="s">
        <v>3134</v>
      </c>
      <c r="D66" s="442" t="s">
        <v>1004</v>
      </c>
      <c r="E66" s="442">
        <v>1</v>
      </c>
      <c r="F66" s="442" t="s">
        <v>3320</v>
      </c>
      <c r="G66" s="1449"/>
    </row>
    <row r="67" spans="1:7" ht="82.5" customHeight="1">
      <c r="A67" s="1691"/>
      <c r="B67" s="1691"/>
      <c r="C67" s="1860" t="s">
        <v>3135</v>
      </c>
      <c r="D67" s="442" t="s">
        <v>1026</v>
      </c>
      <c r="E67" s="442">
        <v>2</v>
      </c>
      <c r="F67" s="442" t="s">
        <v>3317</v>
      </c>
      <c r="G67" s="1449"/>
    </row>
    <row r="68" spans="1:7" ht="23.15">
      <c r="A68" s="1691"/>
      <c r="B68" s="1691"/>
      <c r="C68" s="1860"/>
      <c r="D68" s="442" t="s">
        <v>1006</v>
      </c>
      <c r="E68" s="442" t="s">
        <v>1020</v>
      </c>
      <c r="F68" s="442" t="s">
        <v>3406</v>
      </c>
      <c r="G68" s="1449"/>
    </row>
    <row r="69" spans="1:7" ht="23.15">
      <c r="A69" s="1691"/>
      <c r="B69" s="1691"/>
      <c r="C69" s="1860" t="s">
        <v>3136</v>
      </c>
      <c r="D69" s="442" t="s">
        <v>1009</v>
      </c>
      <c r="E69" s="442" t="s">
        <v>1019</v>
      </c>
      <c r="F69" s="442" t="s">
        <v>791</v>
      </c>
      <c r="G69" s="1449"/>
    </row>
    <row r="70" spans="1:7" ht="11.6">
      <c r="A70" s="1691"/>
      <c r="B70" s="1691"/>
      <c r="C70" s="1860"/>
      <c r="D70" s="442" t="s">
        <v>1011</v>
      </c>
      <c r="E70" s="442">
        <v>1</v>
      </c>
      <c r="F70" s="442" t="s">
        <v>3271</v>
      </c>
      <c r="G70" s="1449"/>
    </row>
    <row r="71" spans="1:7" ht="56.25" customHeight="1">
      <c r="A71" s="1691"/>
      <c r="B71" s="1691"/>
      <c r="C71" s="1860" t="s">
        <v>3137</v>
      </c>
      <c r="D71" s="442" t="s">
        <v>1012</v>
      </c>
      <c r="E71" s="442" t="s">
        <v>3157</v>
      </c>
      <c r="F71" s="442" t="s">
        <v>3407</v>
      </c>
      <c r="G71" s="1449"/>
    </row>
    <row r="72" spans="1:7" ht="45.75" customHeight="1">
      <c r="A72" s="1691"/>
      <c r="B72" s="1691"/>
      <c r="C72" s="1860"/>
      <c r="D72" s="442" t="s">
        <v>1015</v>
      </c>
      <c r="E72" s="442">
        <v>60</v>
      </c>
      <c r="F72" s="442" t="s">
        <v>3408</v>
      </c>
      <c r="G72" s="1449"/>
    </row>
    <row r="73" spans="1:7" ht="18.75" customHeight="1">
      <c r="A73" s="1469"/>
      <c r="B73" s="1468"/>
      <c r="C73" s="1468"/>
      <c r="D73" s="1468"/>
      <c r="E73" s="1468"/>
      <c r="F73" s="1468"/>
    </row>
    <row r="74" spans="1:7" ht="26.25" customHeight="1">
      <c r="A74" s="1691" t="s">
        <v>1048</v>
      </c>
      <c r="B74" s="1691" t="s">
        <v>2948</v>
      </c>
      <c r="C74" s="2245" t="s">
        <v>3719</v>
      </c>
      <c r="D74" s="2245"/>
      <c r="E74" s="2245"/>
      <c r="F74" s="2245"/>
    </row>
    <row r="75" spans="1:7" ht="11.6">
      <c r="A75" s="1691"/>
      <c r="B75" s="1691"/>
      <c r="C75" s="1466" t="s">
        <v>3128</v>
      </c>
      <c r="D75" s="1466" t="s">
        <v>3128</v>
      </c>
      <c r="E75" s="1466" t="s">
        <v>3128</v>
      </c>
      <c r="F75" s="1466" t="s">
        <v>3128</v>
      </c>
    </row>
    <row r="76" spans="1:7" ht="18.75" customHeight="1">
      <c r="A76" s="1691"/>
      <c r="B76" s="1691"/>
      <c r="C76" s="2246" t="s">
        <v>3129</v>
      </c>
      <c r="D76" s="2246"/>
      <c r="E76" s="2246"/>
      <c r="F76" s="2246"/>
    </row>
    <row r="77" spans="1:7" ht="23.15">
      <c r="A77" s="1691"/>
      <c r="B77" s="1691"/>
      <c r="C77" s="442" t="s">
        <v>3158</v>
      </c>
      <c r="D77" s="442" t="s">
        <v>3159</v>
      </c>
      <c r="E77" s="442">
        <v>360</v>
      </c>
      <c r="F77" s="442">
        <v>379</v>
      </c>
    </row>
    <row r="78" spans="1:7" ht="38.25" customHeight="1">
      <c r="A78" s="1691"/>
      <c r="B78" s="1691"/>
      <c r="C78" s="1860" t="s">
        <v>3130</v>
      </c>
      <c r="D78" s="1860" t="s">
        <v>1000</v>
      </c>
      <c r="E78" s="1861" t="s">
        <v>1001</v>
      </c>
      <c r="F78" s="1861" t="s">
        <v>1001</v>
      </c>
    </row>
    <row r="79" spans="1:7" ht="11.6">
      <c r="A79" s="1691"/>
      <c r="B79" s="1691"/>
      <c r="C79" s="1860"/>
      <c r="D79" s="1860"/>
      <c r="E79" s="1862"/>
      <c r="F79" s="1862"/>
    </row>
    <row r="80" spans="1:7" ht="23.15">
      <c r="A80" s="1691"/>
      <c r="B80" s="1691"/>
      <c r="C80" s="442" t="s">
        <v>3160</v>
      </c>
      <c r="D80" s="442" t="s">
        <v>1027</v>
      </c>
      <c r="E80" s="442">
        <v>4</v>
      </c>
      <c r="F80" s="442">
        <v>4</v>
      </c>
    </row>
    <row r="81" spans="1:6" ht="24.75" customHeight="1">
      <c r="A81" s="1691"/>
      <c r="B81" s="1691"/>
      <c r="C81" s="1860" t="s">
        <v>3161</v>
      </c>
      <c r="D81" s="442" t="s">
        <v>3162</v>
      </c>
      <c r="E81" s="442">
        <v>6</v>
      </c>
      <c r="F81" s="442">
        <v>6</v>
      </c>
    </row>
    <row r="82" spans="1:6" ht="22.5" customHeight="1">
      <c r="A82" s="1691"/>
      <c r="B82" s="1691"/>
      <c r="C82" s="1860"/>
      <c r="D82" s="442" t="s">
        <v>3163</v>
      </c>
      <c r="E82" s="442">
        <v>90</v>
      </c>
      <c r="F82" s="442">
        <v>95</v>
      </c>
    </row>
    <row r="83" spans="1:6" ht="26.25" customHeight="1">
      <c r="A83" s="1691"/>
      <c r="B83" s="1691"/>
      <c r="C83" s="442" t="s">
        <v>3164</v>
      </c>
      <c r="D83" s="442" t="s">
        <v>3165</v>
      </c>
      <c r="E83" s="442">
        <v>4</v>
      </c>
      <c r="F83" s="442">
        <v>14</v>
      </c>
    </row>
    <row r="84" spans="1:6" ht="23.15">
      <c r="A84" s="1691"/>
      <c r="B84" s="1691"/>
      <c r="C84" s="442" t="s">
        <v>3166</v>
      </c>
      <c r="D84" s="442" t="s">
        <v>1004</v>
      </c>
      <c r="E84" s="442">
        <v>3</v>
      </c>
      <c r="F84" s="442">
        <v>3</v>
      </c>
    </row>
    <row r="85" spans="1:6" ht="23.15">
      <c r="A85" s="1691"/>
      <c r="B85" s="1691"/>
      <c r="C85" s="442" t="s">
        <v>3167</v>
      </c>
      <c r="D85" s="442" t="s">
        <v>1004</v>
      </c>
      <c r="E85" s="442">
        <v>2</v>
      </c>
      <c r="F85" s="442">
        <v>3</v>
      </c>
    </row>
    <row r="86" spans="1:6" ht="48.65" customHeight="1">
      <c r="A86" s="1691"/>
      <c r="B86" s="1691"/>
      <c r="C86" s="1860" t="s">
        <v>3135</v>
      </c>
      <c r="D86" s="442" t="s">
        <v>1005</v>
      </c>
      <c r="E86" s="442">
        <v>5</v>
      </c>
      <c r="F86" s="442">
        <v>4</v>
      </c>
    </row>
    <row r="87" spans="1:6" ht="23.15">
      <c r="A87" s="1691"/>
      <c r="B87" s="1691"/>
      <c r="C87" s="1860"/>
      <c r="D87" s="442" t="s">
        <v>1006</v>
      </c>
      <c r="E87" s="442" t="s">
        <v>1007</v>
      </c>
      <c r="F87" s="442" t="s">
        <v>2378</v>
      </c>
    </row>
    <row r="88" spans="1:6" ht="23.15">
      <c r="A88" s="1691"/>
      <c r="B88" s="1691"/>
      <c r="C88" s="1860" t="s">
        <v>3136</v>
      </c>
      <c r="D88" s="442" t="s">
        <v>1009</v>
      </c>
      <c r="E88" s="442" t="s">
        <v>3168</v>
      </c>
      <c r="F88" s="442" t="s">
        <v>3313</v>
      </c>
    </row>
    <row r="89" spans="1:6" ht="24" customHeight="1">
      <c r="A89" s="1691"/>
      <c r="B89" s="1691"/>
      <c r="C89" s="1860"/>
      <c r="D89" s="442" t="s">
        <v>1011</v>
      </c>
      <c r="E89" s="442">
        <v>5</v>
      </c>
      <c r="F89" s="442">
        <v>5</v>
      </c>
    </row>
    <row r="90" spans="1:6" ht="63.65" customHeight="1">
      <c r="A90" s="1691"/>
      <c r="B90" s="1691"/>
      <c r="C90" s="1860" t="s">
        <v>3137</v>
      </c>
      <c r="D90" s="442" t="s">
        <v>1012</v>
      </c>
      <c r="E90" s="442" t="s">
        <v>1014</v>
      </c>
      <c r="F90" s="442" t="s">
        <v>1014</v>
      </c>
    </row>
    <row r="91" spans="1:6" ht="24" customHeight="1">
      <c r="A91" s="1691"/>
      <c r="B91" s="1691"/>
      <c r="C91" s="1860"/>
      <c r="D91" s="442" t="s">
        <v>1015</v>
      </c>
      <c r="E91" s="442">
        <v>60</v>
      </c>
      <c r="F91" s="442">
        <v>80</v>
      </c>
    </row>
    <row r="92" spans="1:6" ht="23.15">
      <c r="A92" s="1691"/>
      <c r="B92" s="1691"/>
      <c r="C92" s="442" t="s">
        <v>3169</v>
      </c>
      <c r="D92" s="442" t="s">
        <v>1018</v>
      </c>
      <c r="E92" s="442">
        <v>5</v>
      </c>
      <c r="F92" s="442">
        <v>6</v>
      </c>
    </row>
    <row r="93" spans="1:6" ht="27.75" customHeight="1">
      <c r="A93" s="1467"/>
      <c r="B93" s="1468"/>
      <c r="C93" s="1468"/>
      <c r="D93" s="1468"/>
      <c r="E93" s="1468"/>
      <c r="F93" s="1468"/>
    </row>
    <row r="94" spans="1:6" ht="26.25" customHeight="1">
      <c r="A94" s="1691" t="s">
        <v>1049</v>
      </c>
      <c r="B94" s="1691" t="s">
        <v>2732</v>
      </c>
      <c r="C94" s="2252" t="s">
        <v>3720</v>
      </c>
      <c r="D94" s="2252"/>
      <c r="E94" s="2252"/>
      <c r="F94" s="2252"/>
    </row>
    <row r="95" spans="1:6" ht="22.5" customHeight="1">
      <c r="A95" s="1691"/>
      <c r="B95" s="1691"/>
      <c r="C95" s="2253" t="s">
        <v>3129</v>
      </c>
      <c r="D95" s="2253"/>
      <c r="E95" s="2253"/>
      <c r="F95" s="2253"/>
    </row>
    <row r="96" spans="1:6" ht="38.25" customHeight="1">
      <c r="A96" s="1691"/>
      <c r="B96" s="1691"/>
      <c r="C96" s="1860" t="s">
        <v>3130</v>
      </c>
      <c r="D96" s="1860" t="s">
        <v>1000</v>
      </c>
      <c r="E96" s="1861" t="s">
        <v>3224</v>
      </c>
      <c r="F96" s="1861" t="s">
        <v>3224</v>
      </c>
    </row>
    <row r="97" spans="1:6" ht="25.5" customHeight="1">
      <c r="A97" s="1691"/>
      <c r="B97" s="1691"/>
      <c r="C97" s="1860"/>
      <c r="D97" s="1860"/>
      <c r="E97" s="1862"/>
      <c r="F97" s="1862"/>
    </row>
    <row r="98" spans="1:6" ht="61.2" customHeight="1">
      <c r="A98" s="1691"/>
      <c r="B98" s="1691"/>
      <c r="C98" s="1860" t="s">
        <v>3170</v>
      </c>
      <c r="D98" s="442" t="s">
        <v>1005</v>
      </c>
      <c r="E98" s="442">
        <v>2</v>
      </c>
      <c r="F98" s="442">
        <v>0</v>
      </c>
    </row>
    <row r="99" spans="1:6" ht="23.15">
      <c r="A99" s="1691"/>
      <c r="B99" s="1691"/>
      <c r="C99" s="1860"/>
      <c r="D99" s="442" t="s">
        <v>1006</v>
      </c>
      <c r="E99" s="442" t="s">
        <v>1028</v>
      </c>
      <c r="F99" s="1470">
        <v>0</v>
      </c>
    </row>
    <row r="100" spans="1:6" ht="36.75" customHeight="1">
      <c r="A100" s="1691"/>
      <c r="B100" s="1691"/>
      <c r="C100" s="1860" t="s">
        <v>3171</v>
      </c>
      <c r="D100" s="442" t="s">
        <v>1009</v>
      </c>
      <c r="E100" s="442" t="s">
        <v>1029</v>
      </c>
      <c r="F100" s="1470">
        <v>0</v>
      </c>
    </row>
    <row r="101" spans="1:6" ht="43.5" customHeight="1">
      <c r="A101" s="1691"/>
      <c r="B101" s="1691"/>
      <c r="C101" s="1860"/>
      <c r="D101" s="442" t="s">
        <v>1011</v>
      </c>
      <c r="E101" s="442">
        <v>1</v>
      </c>
      <c r="F101" s="442">
        <v>0</v>
      </c>
    </row>
    <row r="102" spans="1:6" ht="63" customHeight="1">
      <c r="A102" s="1691"/>
      <c r="B102" s="1691"/>
      <c r="C102" s="1860" t="s">
        <v>3172</v>
      </c>
      <c r="D102" s="442" t="s">
        <v>1012</v>
      </c>
      <c r="E102" s="442" t="s">
        <v>1014</v>
      </c>
      <c r="F102" s="1470" t="s">
        <v>1014</v>
      </c>
    </row>
    <row r="103" spans="1:6" ht="23.15">
      <c r="A103" s="1691"/>
      <c r="B103" s="1691"/>
      <c r="C103" s="1860"/>
      <c r="D103" s="442" t="s">
        <v>1015</v>
      </c>
      <c r="E103" s="442">
        <v>10</v>
      </c>
      <c r="F103" s="442">
        <v>0</v>
      </c>
    </row>
    <row r="104" spans="1:6" ht="23.15">
      <c r="A104" s="1691"/>
      <c r="B104" s="1691"/>
      <c r="C104" s="442" t="s">
        <v>3173</v>
      </c>
      <c r="D104" s="442" t="s">
        <v>1030</v>
      </c>
      <c r="E104" s="442">
        <v>4</v>
      </c>
      <c r="F104" s="442">
        <v>2</v>
      </c>
    </row>
    <row r="105" spans="1:6" ht="23.15">
      <c r="A105" s="1691"/>
      <c r="B105" s="1691"/>
      <c r="C105" s="442" t="s">
        <v>3169</v>
      </c>
      <c r="D105" s="442" t="s">
        <v>1018</v>
      </c>
      <c r="E105" s="442">
        <v>4</v>
      </c>
      <c r="F105" s="442">
        <v>4</v>
      </c>
    </row>
    <row r="106" spans="1:6" ht="27.75" customHeight="1">
      <c r="A106" s="1471"/>
      <c r="B106" s="1472"/>
      <c r="C106" s="1472"/>
      <c r="D106" s="1472"/>
      <c r="E106" s="1472"/>
      <c r="F106" s="1472"/>
    </row>
    <row r="107" spans="1:6" ht="25.5" customHeight="1">
      <c r="A107" s="1691" t="s">
        <v>1050</v>
      </c>
      <c r="B107" s="1691" t="s">
        <v>3174</v>
      </c>
      <c r="C107" s="2245" t="s">
        <v>3721</v>
      </c>
      <c r="D107" s="2245"/>
      <c r="E107" s="2245"/>
      <c r="F107" s="2245"/>
    </row>
    <row r="108" spans="1:6" ht="11.6">
      <c r="A108" s="1691"/>
      <c r="B108" s="1691"/>
      <c r="C108" s="1466" t="s">
        <v>173</v>
      </c>
      <c r="D108" s="1466" t="s">
        <v>173</v>
      </c>
      <c r="E108" s="1466" t="s">
        <v>173</v>
      </c>
      <c r="F108" s="1466" t="s">
        <v>173</v>
      </c>
    </row>
    <row r="109" spans="1:6" ht="23.25" customHeight="1">
      <c r="A109" s="1691"/>
      <c r="B109" s="1691"/>
      <c r="C109" s="2246" t="s">
        <v>3129</v>
      </c>
      <c r="D109" s="2246"/>
      <c r="E109" s="2246"/>
      <c r="F109" s="2246"/>
    </row>
    <row r="110" spans="1:6" ht="36.75" customHeight="1">
      <c r="A110" s="1691"/>
      <c r="B110" s="1691"/>
      <c r="C110" s="442" t="s">
        <v>3175</v>
      </c>
      <c r="D110" s="442" t="s">
        <v>3176</v>
      </c>
      <c r="E110" s="442">
        <v>3</v>
      </c>
      <c r="F110" s="442">
        <v>1</v>
      </c>
    </row>
    <row r="111" spans="1:6" ht="23.15">
      <c r="A111" s="1691"/>
      <c r="B111" s="1691"/>
      <c r="C111" s="442" t="s">
        <v>3177</v>
      </c>
      <c r="D111" s="442" t="s">
        <v>3178</v>
      </c>
      <c r="E111" s="442">
        <v>20</v>
      </c>
      <c r="F111" s="442">
        <v>40</v>
      </c>
    </row>
    <row r="112" spans="1:6" ht="34.5" customHeight="1">
      <c r="A112" s="1691"/>
      <c r="B112" s="1691"/>
      <c r="C112" s="442" t="s">
        <v>3179</v>
      </c>
      <c r="D112" s="442" t="s">
        <v>3180</v>
      </c>
      <c r="E112" s="442">
        <v>1</v>
      </c>
      <c r="F112" s="442">
        <v>0</v>
      </c>
    </row>
    <row r="113" spans="1:6" ht="23.15">
      <c r="A113" s="1691"/>
      <c r="B113" s="1691"/>
      <c r="C113" s="442" t="s">
        <v>3181</v>
      </c>
      <c r="D113" s="442" t="s">
        <v>3182</v>
      </c>
      <c r="E113" s="442">
        <v>1</v>
      </c>
      <c r="F113" s="442">
        <v>0</v>
      </c>
    </row>
    <row r="114" spans="1:6" ht="27.75" customHeight="1">
      <c r="A114" s="1467"/>
      <c r="B114" s="1468"/>
      <c r="C114" s="1468"/>
      <c r="D114" s="1468"/>
      <c r="E114" s="1468"/>
      <c r="F114" s="1468"/>
    </row>
    <row r="115" spans="1:6" ht="25.5" customHeight="1">
      <c r="A115" s="1691" t="s">
        <v>1051</v>
      </c>
      <c r="B115" s="1691" t="s">
        <v>1031</v>
      </c>
      <c r="C115" s="2245" t="s">
        <v>3183</v>
      </c>
      <c r="D115" s="2245"/>
      <c r="E115" s="2245"/>
      <c r="F115" s="2245"/>
    </row>
    <row r="116" spans="1:6" ht="11.6">
      <c r="A116" s="1691"/>
      <c r="B116" s="1691"/>
      <c r="C116" s="1466" t="s">
        <v>173</v>
      </c>
      <c r="D116" s="1466" t="s">
        <v>173</v>
      </c>
      <c r="E116" s="1466" t="s">
        <v>173</v>
      </c>
      <c r="F116" s="1466" t="s">
        <v>173</v>
      </c>
    </row>
    <row r="117" spans="1:6" ht="23.25" customHeight="1">
      <c r="A117" s="1691"/>
      <c r="B117" s="1691"/>
      <c r="C117" s="2246" t="s">
        <v>3129</v>
      </c>
      <c r="D117" s="2246"/>
      <c r="E117" s="2246"/>
      <c r="F117" s="2246"/>
    </row>
    <row r="118" spans="1:6" ht="39.75" customHeight="1">
      <c r="A118" s="1691"/>
      <c r="B118" s="1691"/>
      <c r="C118" s="442" t="s">
        <v>2710</v>
      </c>
      <c r="D118" s="442" t="s">
        <v>3185</v>
      </c>
      <c r="E118" s="442">
        <v>100</v>
      </c>
      <c r="F118" s="442">
        <v>100</v>
      </c>
    </row>
    <row r="119" spans="1:6" ht="11.6">
      <c r="A119" s="1691"/>
      <c r="B119" s="1691"/>
      <c r="C119" s="442" t="s">
        <v>2711</v>
      </c>
      <c r="D119" s="442" t="s">
        <v>3186</v>
      </c>
      <c r="E119" s="442">
        <v>1</v>
      </c>
      <c r="F119" s="442">
        <v>1</v>
      </c>
    </row>
    <row r="120" spans="1:6" ht="51.65" customHeight="1">
      <c r="A120" s="1691"/>
      <c r="B120" s="1691"/>
      <c r="C120" s="442" t="s">
        <v>2712</v>
      </c>
      <c r="D120" s="442" t="s">
        <v>3184</v>
      </c>
      <c r="E120" s="442">
        <v>1</v>
      </c>
      <c r="F120" s="442">
        <v>0</v>
      </c>
    </row>
    <row r="121" spans="1:6" ht="36.75" customHeight="1">
      <c r="A121" s="1691"/>
      <c r="B121" s="1691"/>
      <c r="C121" s="442" t="s">
        <v>2713</v>
      </c>
      <c r="D121" s="442" t="s">
        <v>3185</v>
      </c>
      <c r="E121" s="442">
        <v>0</v>
      </c>
      <c r="F121" s="442">
        <v>0</v>
      </c>
    </row>
    <row r="122" spans="1:6" ht="33.75" customHeight="1">
      <c r="A122" s="1691"/>
      <c r="B122" s="1691"/>
      <c r="C122" s="442" t="s">
        <v>2714</v>
      </c>
      <c r="D122" s="442" t="s">
        <v>3184</v>
      </c>
      <c r="E122" s="442">
        <v>0</v>
      </c>
      <c r="F122" s="442">
        <v>0</v>
      </c>
    </row>
    <row r="123" spans="1:6" ht="34.5" customHeight="1">
      <c r="A123" s="1691"/>
      <c r="B123" s="1691"/>
      <c r="C123" s="442" t="s">
        <v>2715</v>
      </c>
      <c r="D123" s="442" t="s">
        <v>3185</v>
      </c>
      <c r="E123" s="442">
        <v>100</v>
      </c>
      <c r="F123" s="442">
        <v>100</v>
      </c>
    </row>
    <row r="124" spans="1:6" ht="39" customHeight="1">
      <c r="A124" s="1691"/>
      <c r="B124" s="1691"/>
      <c r="C124" s="442" t="s">
        <v>2716</v>
      </c>
      <c r="D124" s="442" t="s">
        <v>3186</v>
      </c>
      <c r="E124" s="442">
        <v>1</v>
      </c>
      <c r="F124" s="442">
        <v>1</v>
      </c>
    </row>
    <row r="125" spans="1:6" ht="34.75">
      <c r="A125" s="1691"/>
      <c r="B125" s="1691"/>
      <c r="C125" s="442" t="s">
        <v>2717</v>
      </c>
      <c r="D125" s="442" t="s">
        <v>3187</v>
      </c>
      <c r="E125" s="442">
        <v>100</v>
      </c>
      <c r="F125" s="442">
        <v>100</v>
      </c>
    </row>
    <row r="126" spans="1:6" ht="33.75" customHeight="1">
      <c r="A126" s="1691"/>
      <c r="B126" s="1691"/>
      <c r="C126" s="442" t="s">
        <v>2718</v>
      </c>
      <c r="D126" s="442" t="s">
        <v>3184</v>
      </c>
      <c r="E126" s="442">
        <v>0</v>
      </c>
      <c r="F126" s="442">
        <v>0</v>
      </c>
    </row>
    <row r="127" spans="1:6" ht="27.75" customHeight="1">
      <c r="A127" s="1691"/>
      <c r="B127" s="1691"/>
      <c r="C127" s="442" t="s">
        <v>2719</v>
      </c>
      <c r="D127" s="442" t="s">
        <v>3185</v>
      </c>
      <c r="E127" s="442">
        <v>100</v>
      </c>
      <c r="F127" s="442">
        <v>100</v>
      </c>
    </row>
    <row r="128" spans="1:6" ht="40.5" customHeight="1">
      <c r="A128" s="1691"/>
      <c r="B128" s="1691"/>
      <c r="C128" s="442" t="s">
        <v>2720</v>
      </c>
      <c r="D128" s="442" t="s">
        <v>3188</v>
      </c>
      <c r="E128" s="442">
        <v>242</v>
      </c>
      <c r="F128" s="442">
        <v>242</v>
      </c>
    </row>
    <row r="129" spans="1:6" ht="32.25" customHeight="1">
      <c r="A129" s="1691"/>
      <c r="B129" s="1691"/>
      <c r="C129" s="442" t="s">
        <v>2721</v>
      </c>
      <c r="D129" s="442" t="s">
        <v>3185</v>
      </c>
      <c r="E129" s="442">
        <v>1</v>
      </c>
      <c r="F129" s="442">
        <v>0</v>
      </c>
    </row>
    <row r="130" spans="1:6" ht="28.5" customHeight="1">
      <c r="A130" s="1691"/>
      <c r="B130" s="1691"/>
      <c r="C130" s="442" t="s">
        <v>2722</v>
      </c>
      <c r="D130" s="442" t="s">
        <v>3189</v>
      </c>
      <c r="E130" s="442">
        <v>1</v>
      </c>
      <c r="F130" s="442">
        <v>0</v>
      </c>
    </row>
    <row r="131" spans="1:6" ht="21" customHeight="1">
      <c r="A131" s="1691"/>
      <c r="B131" s="1691"/>
      <c r="C131" s="442" t="s">
        <v>2723</v>
      </c>
      <c r="D131" s="442" t="s">
        <v>3185</v>
      </c>
      <c r="E131" s="442">
        <v>100</v>
      </c>
      <c r="F131" s="442">
        <v>100</v>
      </c>
    </row>
    <row r="132" spans="1:6" ht="38.25" customHeight="1">
      <c r="A132" s="1691"/>
      <c r="B132" s="1691"/>
      <c r="C132" s="442" t="s">
        <v>2724</v>
      </c>
      <c r="D132" s="442" t="s">
        <v>3190</v>
      </c>
      <c r="E132" s="442">
        <v>150</v>
      </c>
      <c r="F132" s="442">
        <v>150</v>
      </c>
    </row>
    <row r="133" spans="1:6" ht="36.75" customHeight="1">
      <c r="A133" s="1691"/>
      <c r="B133" s="1691"/>
      <c r="C133" s="442" t="s">
        <v>2725</v>
      </c>
      <c r="D133" s="442" t="s">
        <v>3190</v>
      </c>
      <c r="E133" s="442">
        <v>24</v>
      </c>
      <c r="F133" s="442">
        <v>24</v>
      </c>
    </row>
    <row r="134" spans="1:6" ht="41.25" customHeight="1">
      <c r="A134" s="1691"/>
      <c r="B134" s="1691"/>
      <c r="C134" s="442" t="s">
        <v>2726</v>
      </c>
      <c r="D134" s="442" t="s">
        <v>3191</v>
      </c>
      <c r="E134" s="442">
        <v>1</v>
      </c>
      <c r="F134" s="442">
        <v>1</v>
      </c>
    </row>
    <row r="135" spans="1:6" ht="42" customHeight="1">
      <c r="A135" s="1691"/>
      <c r="B135" s="1691"/>
      <c r="C135" s="442" t="s">
        <v>2727</v>
      </c>
      <c r="D135" s="442" t="s">
        <v>3191</v>
      </c>
      <c r="E135" s="442">
        <v>1</v>
      </c>
      <c r="F135" s="442">
        <v>1</v>
      </c>
    </row>
    <row r="136" spans="1:6" ht="39.75" customHeight="1">
      <c r="A136" s="1691"/>
      <c r="B136" s="1691"/>
      <c r="C136" s="442" t="s">
        <v>2728</v>
      </c>
      <c r="D136" s="442" t="s">
        <v>3192</v>
      </c>
      <c r="E136" s="442">
        <v>258</v>
      </c>
      <c r="F136" s="442">
        <v>258</v>
      </c>
    </row>
    <row r="137" spans="1:6" ht="25.5" customHeight="1">
      <c r="A137" s="1691"/>
      <c r="B137" s="1691"/>
      <c r="C137" s="442" t="s">
        <v>2729</v>
      </c>
      <c r="D137" s="442" t="s">
        <v>3193</v>
      </c>
      <c r="E137" s="442">
        <v>6</v>
      </c>
      <c r="F137" s="442">
        <v>6</v>
      </c>
    </row>
    <row r="138" spans="1:6" ht="24.75" customHeight="1">
      <c r="A138" s="1691"/>
      <c r="B138" s="1691"/>
      <c r="C138" s="442" t="s">
        <v>2730</v>
      </c>
      <c r="D138" s="442" t="s">
        <v>3194</v>
      </c>
      <c r="E138" s="442">
        <v>6</v>
      </c>
      <c r="F138" s="442">
        <v>6</v>
      </c>
    </row>
    <row r="139" spans="1:6" ht="27" customHeight="1">
      <c r="A139" s="1691"/>
      <c r="B139" s="1691"/>
      <c r="C139" s="442" t="s">
        <v>2731</v>
      </c>
      <c r="D139" s="442" t="s">
        <v>3195</v>
      </c>
      <c r="E139" s="442">
        <v>5</v>
      </c>
      <c r="F139" s="442">
        <v>5</v>
      </c>
    </row>
    <row r="140" spans="1:6" ht="24" customHeight="1">
      <c r="A140" s="1467"/>
      <c r="B140" s="1468"/>
      <c r="C140" s="1468"/>
      <c r="D140" s="1468"/>
      <c r="E140" s="1468"/>
      <c r="F140" s="1468"/>
    </row>
    <row r="141" spans="1:6" ht="28.5" customHeight="1">
      <c r="A141" s="1667" t="s">
        <v>3196</v>
      </c>
      <c r="B141" s="1667" t="s">
        <v>3197</v>
      </c>
      <c r="C141" s="2245" t="s">
        <v>3183</v>
      </c>
      <c r="D141" s="2245"/>
      <c r="E141" s="2245"/>
      <c r="F141" s="2245"/>
    </row>
    <row r="142" spans="1:6" ht="11.6">
      <c r="A142" s="1668"/>
      <c r="B142" s="1668"/>
      <c r="C142" s="1466"/>
      <c r="D142" s="1466"/>
      <c r="E142" s="1466"/>
      <c r="F142" s="1466"/>
    </row>
    <row r="143" spans="1:6" ht="22.5" customHeight="1">
      <c r="A143" s="1668"/>
      <c r="B143" s="1668"/>
      <c r="C143" s="2246" t="s">
        <v>3198</v>
      </c>
      <c r="D143" s="2246"/>
      <c r="E143" s="2246"/>
      <c r="F143" s="2246"/>
    </row>
    <row r="144" spans="1:6" ht="21" customHeight="1">
      <c r="A144" s="1668"/>
      <c r="B144" s="1668"/>
      <c r="C144" s="442" t="s">
        <v>3199</v>
      </c>
      <c r="D144" s="1860" t="s">
        <v>3200</v>
      </c>
      <c r="E144" s="1861" t="s">
        <v>3225</v>
      </c>
      <c r="F144" s="1861">
        <v>62486</v>
      </c>
    </row>
    <row r="145" spans="1:6" ht="37.5" customHeight="1">
      <c r="A145" s="1668"/>
      <c r="B145" s="1668"/>
      <c r="C145" s="442" t="s">
        <v>3201</v>
      </c>
      <c r="D145" s="1860"/>
      <c r="E145" s="1862"/>
      <c r="F145" s="1862"/>
    </row>
    <row r="146" spans="1:6" ht="37.5" customHeight="1">
      <c r="A146" s="1668"/>
      <c r="B146" s="1668"/>
      <c r="C146" s="1860" t="s">
        <v>3199</v>
      </c>
      <c r="D146" s="1860" t="s">
        <v>3202</v>
      </c>
      <c r="E146" s="1861" t="s">
        <v>3226</v>
      </c>
      <c r="F146" s="1861">
        <v>40715</v>
      </c>
    </row>
    <row r="147" spans="1:6" ht="18.75" customHeight="1">
      <c r="A147" s="1668"/>
      <c r="B147" s="1668"/>
      <c r="C147" s="1860"/>
      <c r="D147" s="1860"/>
      <c r="E147" s="2249"/>
      <c r="F147" s="2249"/>
    </row>
    <row r="148" spans="1:6" ht="24" customHeight="1">
      <c r="A148" s="1668"/>
      <c r="B148" s="1668"/>
      <c r="C148" s="1860"/>
      <c r="D148" s="1860"/>
      <c r="E148" s="1862"/>
      <c r="F148" s="1862"/>
    </row>
    <row r="149" spans="1:6" ht="48" customHeight="1">
      <c r="A149" s="1668"/>
      <c r="B149" s="1668"/>
      <c r="C149" s="1865" t="s">
        <v>3203</v>
      </c>
      <c r="D149" s="1860" t="s">
        <v>3202</v>
      </c>
      <c r="E149" s="2250" t="s">
        <v>3204</v>
      </c>
      <c r="F149" s="1861">
        <v>1452</v>
      </c>
    </row>
    <row r="150" spans="1:6" ht="11.6">
      <c r="A150" s="1668"/>
      <c r="B150" s="1668"/>
      <c r="C150" s="1865"/>
      <c r="D150" s="1860"/>
      <c r="E150" s="2251"/>
      <c r="F150" s="1862"/>
    </row>
    <row r="151" spans="1:6" ht="50.25" customHeight="1">
      <c r="A151" s="1668"/>
      <c r="B151" s="1668"/>
      <c r="C151" s="447" t="s">
        <v>3722</v>
      </c>
      <c r="D151" s="442" t="s">
        <v>3202</v>
      </c>
      <c r="E151" s="447" t="s">
        <v>2503</v>
      </c>
      <c r="F151" s="442">
        <v>7139</v>
      </c>
    </row>
    <row r="152" spans="1:6" ht="46.5" customHeight="1">
      <c r="A152" s="1668"/>
      <c r="B152" s="1668"/>
      <c r="C152" s="442" t="s">
        <v>3199</v>
      </c>
      <c r="D152" s="442" t="s">
        <v>3205</v>
      </c>
      <c r="E152" s="442" t="s">
        <v>3227</v>
      </c>
      <c r="F152" s="442">
        <v>7144174</v>
      </c>
    </row>
    <row r="153" spans="1:6" ht="40.5" customHeight="1">
      <c r="A153" s="1668"/>
      <c r="B153" s="1668"/>
      <c r="C153" s="1860" t="s">
        <v>3199</v>
      </c>
      <c r="D153" s="442" t="s">
        <v>3206</v>
      </c>
      <c r="E153" s="442" t="s">
        <v>3228</v>
      </c>
      <c r="F153" s="442">
        <v>10394</v>
      </c>
    </row>
    <row r="154" spans="1:6" ht="54.75" customHeight="1">
      <c r="A154" s="1668"/>
      <c r="B154" s="1668"/>
      <c r="C154" s="1860"/>
      <c r="D154" s="1865" t="s">
        <v>3207</v>
      </c>
      <c r="E154" s="1861" t="s">
        <v>3229</v>
      </c>
      <c r="F154" s="2255">
        <v>0.189</v>
      </c>
    </row>
    <row r="155" spans="1:6" ht="27" hidden="1" customHeight="1">
      <c r="A155" s="1668"/>
      <c r="B155" s="1668"/>
      <c r="C155" s="1860"/>
      <c r="D155" s="1865"/>
      <c r="E155" s="1862"/>
      <c r="F155" s="2256"/>
    </row>
    <row r="156" spans="1:6" ht="48" customHeight="1">
      <c r="A156" s="1668"/>
      <c r="B156" s="1668"/>
      <c r="C156" s="1860"/>
      <c r="D156" s="1865" t="s">
        <v>3208</v>
      </c>
      <c r="E156" s="442" t="s">
        <v>1034</v>
      </c>
      <c r="F156" s="1473">
        <v>9</v>
      </c>
    </row>
    <row r="157" spans="1:6" ht="46.3">
      <c r="A157" s="1668"/>
      <c r="B157" s="1668"/>
      <c r="C157" s="1860"/>
      <c r="D157" s="1865"/>
      <c r="E157" s="442" t="s">
        <v>2504</v>
      </c>
      <c r="F157" s="1473" t="s">
        <v>3532</v>
      </c>
    </row>
    <row r="158" spans="1:6" ht="121.2" customHeight="1">
      <c r="A158" s="1668"/>
      <c r="B158" s="1668"/>
      <c r="C158" s="1860" t="s">
        <v>3209</v>
      </c>
      <c r="D158" s="1865" t="s">
        <v>3210</v>
      </c>
      <c r="E158" s="442" t="s">
        <v>3211</v>
      </c>
      <c r="F158" s="447" t="s">
        <v>3533</v>
      </c>
    </row>
    <row r="159" spans="1:6" ht="71.5" customHeight="1">
      <c r="A159" s="1668"/>
      <c r="B159" s="1668"/>
      <c r="C159" s="1860"/>
      <c r="D159" s="1865"/>
      <c r="E159" s="442" t="s">
        <v>3212</v>
      </c>
      <c r="F159" s="447" t="s">
        <v>3534</v>
      </c>
    </row>
    <row r="160" spans="1:6" ht="111" customHeight="1">
      <c r="A160" s="1668"/>
      <c r="B160" s="1668"/>
      <c r="C160" s="1860"/>
      <c r="D160" s="1865"/>
      <c r="E160" s="442" t="s">
        <v>3213</v>
      </c>
      <c r="F160" s="447" t="s">
        <v>3535</v>
      </c>
    </row>
    <row r="161" spans="1:6" ht="133.19999999999999" customHeight="1">
      <c r="A161" s="1668"/>
      <c r="B161" s="1668"/>
      <c r="C161" s="1860"/>
      <c r="D161" s="1865"/>
      <c r="E161" s="447" t="s">
        <v>3214</v>
      </c>
      <c r="F161" s="447" t="s">
        <v>3723</v>
      </c>
    </row>
    <row r="162" spans="1:6" ht="37.5" customHeight="1">
      <c r="A162" s="1668"/>
      <c r="B162" s="1668"/>
      <c r="C162" s="1860"/>
      <c r="D162" s="1860" t="s">
        <v>3724</v>
      </c>
      <c r="E162" s="1861" t="s">
        <v>3230</v>
      </c>
      <c r="F162" s="1861" t="s">
        <v>3536</v>
      </c>
    </row>
    <row r="163" spans="1:6" ht="49.5" customHeight="1">
      <c r="A163" s="1668"/>
      <c r="B163" s="1668"/>
      <c r="C163" s="1860"/>
      <c r="D163" s="1860"/>
      <c r="E163" s="1862"/>
      <c r="F163" s="1862"/>
    </row>
    <row r="164" spans="1:6" ht="23.15">
      <c r="A164" s="1668"/>
      <c r="B164" s="1668"/>
      <c r="C164" s="1860"/>
      <c r="D164" s="442" t="s">
        <v>3215</v>
      </c>
      <c r="E164" s="1474">
        <v>0.71</v>
      </c>
      <c r="F164" s="1475">
        <v>1</v>
      </c>
    </row>
    <row r="165" spans="1:6" ht="23.15">
      <c r="A165" s="1668"/>
      <c r="B165" s="1668"/>
      <c r="C165" s="1860"/>
      <c r="D165" s="442" t="s">
        <v>3216</v>
      </c>
      <c r="E165" s="1474">
        <v>0.02</v>
      </c>
      <c r="F165" s="1475">
        <v>0.94</v>
      </c>
    </row>
    <row r="166" spans="1:6" ht="23.15">
      <c r="A166" s="1672"/>
      <c r="B166" s="1672"/>
      <c r="C166" s="1860"/>
      <c r="D166" s="442" t="s">
        <v>3217</v>
      </c>
      <c r="E166" s="1474">
        <v>0.6</v>
      </c>
      <c r="F166" s="1475">
        <v>0.96</v>
      </c>
    </row>
    <row r="167" spans="1:6" ht="25.5" customHeight="1">
      <c r="A167" s="1467"/>
      <c r="B167" s="1468"/>
      <c r="C167" s="1468"/>
      <c r="D167" s="1468"/>
      <c r="E167" s="1468"/>
      <c r="F167" s="1468"/>
    </row>
    <row r="168" spans="1:6" ht="36" customHeight="1">
      <c r="A168" s="1691" t="s">
        <v>3218</v>
      </c>
      <c r="B168" s="1691" t="s">
        <v>3219</v>
      </c>
      <c r="C168" s="2245" t="s">
        <v>3183</v>
      </c>
      <c r="D168" s="2245"/>
      <c r="E168" s="2245"/>
      <c r="F168" s="2245"/>
    </row>
    <row r="169" spans="1:6" ht="11.6">
      <c r="A169" s="1691"/>
      <c r="B169" s="1691"/>
      <c r="C169" s="1466" t="s">
        <v>173</v>
      </c>
      <c r="D169" s="1466" t="s">
        <v>173</v>
      </c>
      <c r="E169" s="1466" t="s">
        <v>173</v>
      </c>
      <c r="F169" s="1466" t="s">
        <v>173</v>
      </c>
    </row>
    <row r="170" spans="1:6" ht="11.6">
      <c r="A170" s="1691"/>
      <c r="B170" s="1691"/>
      <c r="C170" s="2246" t="s">
        <v>3198</v>
      </c>
      <c r="D170" s="2246"/>
      <c r="E170" s="2246"/>
      <c r="F170" s="2246"/>
    </row>
    <row r="171" spans="1:6" ht="99" customHeight="1">
      <c r="A171" s="1691"/>
      <c r="B171" s="1691"/>
      <c r="C171" s="442" t="s">
        <v>3231</v>
      </c>
      <c r="D171" s="442" t="s">
        <v>509</v>
      </c>
      <c r="E171" s="442">
        <v>0</v>
      </c>
      <c r="F171" s="442" t="s">
        <v>3704</v>
      </c>
    </row>
    <row r="172" spans="1:6" ht="93" hidden="1" customHeight="1">
      <c r="A172" s="1691"/>
      <c r="B172" s="1691"/>
      <c r="C172" s="1860" t="s">
        <v>3220</v>
      </c>
      <c r="D172" s="1860"/>
      <c r="E172" s="1860"/>
      <c r="F172" s="1860"/>
    </row>
    <row r="173" spans="1:6" ht="12.75" hidden="1" customHeight="1">
      <c r="A173" s="1691"/>
      <c r="B173" s="1691"/>
      <c r="C173" s="1860"/>
      <c r="D173" s="1860"/>
      <c r="E173" s="1860"/>
      <c r="F173" s="1860"/>
    </row>
    <row r="174" spans="1:6" ht="27" customHeight="1">
      <c r="A174" s="1691"/>
      <c r="B174" s="1691"/>
      <c r="C174" s="1861" t="s">
        <v>3232</v>
      </c>
      <c r="D174" s="1860" t="s">
        <v>3233</v>
      </c>
      <c r="E174" s="2247">
        <v>60</v>
      </c>
      <c r="F174" s="2247" t="s">
        <v>3707</v>
      </c>
    </row>
    <row r="175" spans="1:6" ht="34.200000000000003" customHeight="1">
      <c r="A175" s="1691"/>
      <c r="B175" s="1691"/>
      <c r="C175" s="1862"/>
      <c r="D175" s="1860"/>
      <c r="E175" s="2248"/>
      <c r="F175" s="2248"/>
    </row>
    <row r="176" spans="1:6" ht="75.650000000000006" customHeight="1">
      <c r="A176" s="1691"/>
      <c r="B176" s="1691"/>
      <c r="C176" s="1464" t="s">
        <v>3234</v>
      </c>
      <c r="D176" s="1450" t="s">
        <v>3235</v>
      </c>
      <c r="E176" s="1476">
        <v>5</v>
      </c>
      <c r="F176" s="1477" t="s">
        <v>3708</v>
      </c>
    </row>
    <row r="177" spans="1:6" ht="57" customHeight="1">
      <c r="A177" s="1691"/>
      <c r="B177" s="1984"/>
      <c r="C177" s="442" t="s">
        <v>3236</v>
      </c>
      <c r="D177" s="442" t="s">
        <v>3237</v>
      </c>
      <c r="E177" s="1477">
        <v>10</v>
      </c>
      <c r="F177" s="1477">
        <v>13.7</v>
      </c>
    </row>
    <row r="178" spans="1:6" ht="37.5" customHeight="1">
      <c r="A178" s="1691"/>
      <c r="B178" s="1984"/>
      <c r="C178" s="442" t="s">
        <v>3238</v>
      </c>
      <c r="D178" s="442" t="s">
        <v>3243</v>
      </c>
      <c r="E178" s="1477">
        <v>90</v>
      </c>
      <c r="F178" s="1478" t="s">
        <v>3705</v>
      </c>
    </row>
    <row r="179" spans="1:6" ht="23.15">
      <c r="A179" s="1691"/>
      <c r="B179" s="1984"/>
      <c r="C179" s="442" t="s">
        <v>3239</v>
      </c>
      <c r="D179" s="442" t="s">
        <v>3244</v>
      </c>
      <c r="E179" s="1477">
        <v>40</v>
      </c>
      <c r="F179" s="1478" t="s">
        <v>3706</v>
      </c>
    </row>
    <row r="180" spans="1:6" ht="32.25" customHeight="1">
      <c r="A180" s="1691"/>
      <c r="B180" s="1984"/>
      <c r="C180" s="442" t="s">
        <v>3240</v>
      </c>
      <c r="D180" s="442" t="s">
        <v>3243</v>
      </c>
      <c r="E180" s="442">
        <v>80</v>
      </c>
      <c r="F180" s="1478" t="s">
        <v>3706</v>
      </c>
    </row>
    <row r="181" spans="1:6" ht="127.3">
      <c r="A181" s="1691"/>
      <c r="B181" s="1984"/>
      <c r="C181" s="442" t="s">
        <v>3241</v>
      </c>
      <c r="D181" s="442" t="s">
        <v>3243</v>
      </c>
      <c r="E181" s="442">
        <v>40</v>
      </c>
      <c r="F181" s="1478" t="s">
        <v>3709</v>
      </c>
    </row>
    <row r="182" spans="1:6" ht="11.6">
      <c r="A182" s="1691"/>
      <c r="B182" s="1984"/>
      <c r="C182" s="442" t="s">
        <v>3242</v>
      </c>
      <c r="D182" s="442" t="s">
        <v>3245</v>
      </c>
      <c r="E182" s="442">
        <v>20</v>
      </c>
      <c r="F182" s="1479" t="s">
        <v>3710</v>
      </c>
    </row>
    <row r="183" spans="1:6" ht="11.6">
      <c r="A183" s="1691"/>
      <c r="B183" s="1984"/>
      <c r="C183" s="442"/>
      <c r="D183" s="442"/>
      <c r="E183" s="442"/>
      <c r="F183" s="1480"/>
    </row>
    <row r="184" spans="1:6" ht="24" customHeight="1">
      <c r="A184" s="1467"/>
      <c r="B184" s="1468"/>
      <c r="C184" s="1468"/>
      <c r="D184" s="1468"/>
      <c r="E184" s="1468"/>
      <c r="F184" s="1468"/>
    </row>
    <row r="185" spans="1:6" ht="11.6">
      <c r="A185" s="470"/>
    </row>
    <row r="186" spans="1:6" ht="11.6">
      <c r="A186" s="470"/>
    </row>
    <row r="187" spans="1:6" ht="11.6">
      <c r="A187" s="470"/>
    </row>
    <row r="188" spans="1:6" ht="11.6">
      <c r="A188" s="470"/>
    </row>
    <row r="189" spans="1:6" ht="11.6">
      <c r="A189" s="470"/>
    </row>
    <row r="190" spans="1:6" ht="11.6">
      <c r="A190" s="470"/>
    </row>
    <row r="191" spans="1:6" ht="11.6">
      <c r="A191" s="470"/>
    </row>
    <row r="192" spans="1:6" ht="11.6">
      <c r="A192" s="470"/>
    </row>
    <row r="193" s="603" customFormat="1" ht="11.6"/>
    <row r="194" s="603" customFormat="1" ht="11.6"/>
    <row r="195" s="603" customFormat="1" ht="11.6"/>
    <row r="196" s="603" customFormat="1" ht="11.6"/>
    <row r="197" s="603" customFormat="1" ht="11.6"/>
    <row r="198" s="603" customFormat="1" ht="11.6"/>
    <row r="199" s="603" customFormat="1" ht="11.6"/>
  </sheetData>
  <mergeCells count="105">
    <mergeCell ref="A1:F1"/>
    <mergeCell ref="A3:A18"/>
    <mergeCell ref="B3:B18"/>
    <mergeCell ref="C3:F3"/>
    <mergeCell ref="C5:F5"/>
    <mergeCell ref="C12:C13"/>
    <mergeCell ref="C14:C15"/>
    <mergeCell ref="C16:C17"/>
    <mergeCell ref="F154:F155"/>
    <mergeCell ref="A41:A55"/>
    <mergeCell ref="B41:B55"/>
    <mergeCell ref="C41:F41"/>
    <mergeCell ref="C43:F43"/>
    <mergeCell ref="C50:C51"/>
    <mergeCell ref="C52:C53"/>
    <mergeCell ref="C54:C55"/>
    <mergeCell ref="A20:A39"/>
    <mergeCell ref="B20:B39"/>
    <mergeCell ref="C20:F20"/>
    <mergeCell ref="C22:F22"/>
    <mergeCell ref="C24:C25"/>
    <mergeCell ref="D24:D25"/>
    <mergeCell ref="E24:E25"/>
    <mergeCell ref="F24:F25"/>
    <mergeCell ref="C32:C33"/>
    <mergeCell ref="C34:C35"/>
    <mergeCell ref="C36:C37"/>
    <mergeCell ref="A57:A72"/>
    <mergeCell ref="B57:B72"/>
    <mergeCell ref="C57:F57"/>
    <mergeCell ref="C59:F59"/>
    <mergeCell ref="C61:C62"/>
    <mergeCell ref="D61:D62"/>
    <mergeCell ref="E61:E62"/>
    <mergeCell ref="F61:F62"/>
    <mergeCell ref="C67:C68"/>
    <mergeCell ref="C69:C70"/>
    <mergeCell ref="C71:C72"/>
    <mergeCell ref="A74:A92"/>
    <mergeCell ref="B74:B92"/>
    <mergeCell ref="C74:F74"/>
    <mergeCell ref="C76:F76"/>
    <mergeCell ref="C78:C79"/>
    <mergeCell ref="D78:D79"/>
    <mergeCell ref="E78:E79"/>
    <mergeCell ref="F78:F79"/>
    <mergeCell ref="C81:C82"/>
    <mergeCell ref="C86:C87"/>
    <mergeCell ref="C88:C89"/>
    <mergeCell ref="C90:C91"/>
    <mergeCell ref="A107:A113"/>
    <mergeCell ref="B107:B113"/>
    <mergeCell ref="C107:F107"/>
    <mergeCell ref="C109:F109"/>
    <mergeCell ref="A115:A139"/>
    <mergeCell ref="B115:B139"/>
    <mergeCell ref="C115:F115"/>
    <mergeCell ref="C117:F117"/>
    <mergeCell ref="A94:A105"/>
    <mergeCell ref="B94:B105"/>
    <mergeCell ref="C94:F94"/>
    <mergeCell ref="C95:F95"/>
    <mergeCell ref="C96:C97"/>
    <mergeCell ref="D96:D97"/>
    <mergeCell ref="E96:E97"/>
    <mergeCell ref="F96:F97"/>
    <mergeCell ref="C98:C99"/>
    <mergeCell ref="C100:C101"/>
    <mergeCell ref="C102:C103"/>
    <mergeCell ref="D154:D155"/>
    <mergeCell ref="E154:E155"/>
    <mergeCell ref="D156:D157"/>
    <mergeCell ref="C158:C166"/>
    <mergeCell ref="D158:D161"/>
    <mergeCell ref="D162:D163"/>
    <mergeCell ref="E162:E163"/>
    <mergeCell ref="A141:A166"/>
    <mergeCell ref="B141:B166"/>
    <mergeCell ref="C141:F141"/>
    <mergeCell ref="C143:F143"/>
    <mergeCell ref="D144:D145"/>
    <mergeCell ref="E144:E145"/>
    <mergeCell ref="F144:F145"/>
    <mergeCell ref="C146:C148"/>
    <mergeCell ref="D146:D148"/>
    <mergeCell ref="E146:E148"/>
    <mergeCell ref="F146:F148"/>
    <mergeCell ref="C149:C150"/>
    <mergeCell ref="D149:D150"/>
    <mergeCell ref="E149:E150"/>
    <mergeCell ref="F149:F150"/>
    <mergeCell ref="C153:C157"/>
    <mergeCell ref="F162:F163"/>
    <mergeCell ref="A168:A183"/>
    <mergeCell ref="B168:B183"/>
    <mergeCell ref="C168:F168"/>
    <mergeCell ref="C170:F170"/>
    <mergeCell ref="C172:C173"/>
    <mergeCell ref="D172:D173"/>
    <mergeCell ref="E172:E173"/>
    <mergeCell ref="F172:F173"/>
    <mergeCell ref="C174:C175"/>
    <mergeCell ref="D174:D175"/>
    <mergeCell ref="E174:E175"/>
    <mergeCell ref="F174:F175"/>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6DA68-9229-4059-8805-2537729C9F91}">
  <sheetPr codeName="Lapas20"/>
  <dimension ref="A1:F48"/>
  <sheetViews>
    <sheetView topLeftCell="A10" zoomScale="89" zoomScaleNormal="89" workbookViewId="0">
      <selection activeCell="S35" sqref="S35"/>
    </sheetView>
  </sheetViews>
  <sheetFormatPr defaultColWidth="9.15234375" defaultRowHeight="11.6"/>
  <cols>
    <col min="1" max="1" width="8.3828125" style="1481" customWidth="1"/>
    <col min="2" max="2" width="19.3046875" style="1481" customWidth="1"/>
    <col min="3" max="3" width="46.53515625" style="1481" customWidth="1"/>
    <col min="4" max="4" width="18.3828125" style="1481" customWidth="1"/>
    <col min="5" max="5" width="21.15234375" style="1481" customWidth="1"/>
    <col min="6" max="6" width="20.84375" style="1481" customWidth="1"/>
    <col min="7" max="16384" width="9.15234375" style="1481"/>
  </cols>
  <sheetData>
    <row r="1" spans="1:6" ht="29.25" customHeight="1">
      <c r="A1" s="2260" t="s">
        <v>3518</v>
      </c>
      <c r="B1" s="2260"/>
      <c r="C1" s="2260"/>
      <c r="D1" s="2260"/>
      <c r="E1" s="2260"/>
      <c r="F1" s="2260"/>
    </row>
    <row r="2" spans="1:6" ht="39" customHeight="1">
      <c r="A2" s="1482" t="s">
        <v>984</v>
      </c>
      <c r="B2" s="1482" t="s">
        <v>3246</v>
      </c>
      <c r="C2" s="1482" t="s">
        <v>3126</v>
      </c>
      <c r="D2" s="1482" t="s">
        <v>997</v>
      </c>
      <c r="E2" s="1482" t="s">
        <v>3221</v>
      </c>
      <c r="F2" s="1482" t="s">
        <v>3222</v>
      </c>
    </row>
    <row r="3" spans="1:6" ht="12" customHeight="1">
      <c r="A3" s="2257" t="s">
        <v>998</v>
      </c>
      <c r="B3" s="2257" t="s">
        <v>3247</v>
      </c>
      <c r="C3" s="2261" t="s">
        <v>3715</v>
      </c>
      <c r="D3" s="2261"/>
      <c r="E3" s="2261"/>
      <c r="F3" s="2261"/>
    </row>
    <row r="4" spans="1:6">
      <c r="A4" s="2257"/>
      <c r="B4" s="2257"/>
      <c r="C4" s="1483" t="s">
        <v>3248</v>
      </c>
      <c r="D4" s="1483" t="s">
        <v>3249</v>
      </c>
      <c r="E4" s="1483" t="s">
        <v>3248</v>
      </c>
      <c r="F4" s="1483" t="s">
        <v>3249</v>
      </c>
    </row>
    <row r="5" spans="1:6">
      <c r="A5" s="2257"/>
      <c r="B5" s="2257"/>
      <c r="C5" s="2262" t="s">
        <v>3129</v>
      </c>
      <c r="D5" s="2262"/>
      <c r="E5" s="2262"/>
      <c r="F5" s="2262"/>
    </row>
    <row r="6" spans="1:6" ht="32.25" customHeight="1">
      <c r="A6" s="2257"/>
      <c r="B6" s="2257"/>
      <c r="C6" s="1484" t="s">
        <v>1037</v>
      </c>
      <c r="D6" s="1484" t="s">
        <v>3250</v>
      </c>
      <c r="E6" s="1484">
        <v>0.71599999999999997</v>
      </c>
      <c r="F6" s="1484">
        <v>0.74099999999999999</v>
      </c>
    </row>
    <row r="7" spans="1:6" ht="23.15">
      <c r="A7" s="2257"/>
      <c r="B7" s="2257"/>
      <c r="C7" s="1484" t="s">
        <v>3261</v>
      </c>
      <c r="D7" s="1484" t="s">
        <v>283</v>
      </c>
      <c r="E7" s="1484"/>
      <c r="F7" s="1484"/>
    </row>
    <row r="8" spans="1:6" ht="23.15">
      <c r="A8" s="2257"/>
      <c r="B8" s="2257"/>
      <c r="C8" s="1484" t="s">
        <v>3262</v>
      </c>
      <c r="D8" s="1484" t="s">
        <v>283</v>
      </c>
      <c r="E8" s="1484"/>
      <c r="F8" s="1484"/>
    </row>
    <row r="9" spans="1:6" ht="23.15">
      <c r="A9" s="2257"/>
      <c r="B9" s="2257"/>
      <c r="C9" s="1484" t="s">
        <v>3263</v>
      </c>
      <c r="D9" s="1484" t="s">
        <v>283</v>
      </c>
      <c r="E9" s="1484"/>
      <c r="F9" s="1484"/>
    </row>
    <row r="10" spans="1:6" ht="23.15">
      <c r="A10" s="2257"/>
      <c r="B10" s="2257"/>
      <c r="C10" s="1484" t="s">
        <v>3251</v>
      </c>
      <c r="D10" s="1484" t="s">
        <v>283</v>
      </c>
      <c r="E10" s="1484" t="s">
        <v>3270</v>
      </c>
      <c r="F10" s="1484"/>
    </row>
    <row r="11" spans="1:6" ht="23.15">
      <c r="A11" s="2257"/>
      <c r="B11" s="2257"/>
      <c r="C11" s="1484" t="s">
        <v>3264</v>
      </c>
      <c r="D11" s="1484" t="s">
        <v>3250</v>
      </c>
      <c r="E11" s="1484" t="s">
        <v>3270</v>
      </c>
      <c r="F11" s="1484" t="s">
        <v>3271</v>
      </c>
    </row>
    <row r="12" spans="1:6" ht="23.15">
      <c r="A12" s="2257"/>
      <c r="B12" s="2257"/>
      <c r="C12" s="1484" t="s">
        <v>1038</v>
      </c>
      <c r="D12" s="1484" t="s">
        <v>283</v>
      </c>
      <c r="E12" s="1484" t="s">
        <v>3270</v>
      </c>
      <c r="F12" s="1484"/>
    </row>
    <row r="13" spans="1:6" ht="23.15">
      <c r="A13" s="2257"/>
      <c r="B13" s="2257"/>
      <c r="C13" s="1484" t="s">
        <v>1039</v>
      </c>
      <c r="D13" s="1484" t="s">
        <v>283</v>
      </c>
      <c r="E13" s="1484">
        <v>1.5980000000000001</v>
      </c>
      <c r="F13" s="1484">
        <v>1.581</v>
      </c>
    </row>
    <row r="14" spans="1:6" ht="23.15">
      <c r="A14" s="2257"/>
      <c r="B14" s="2257"/>
      <c r="C14" s="1484" t="s">
        <v>1040</v>
      </c>
      <c r="D14" s="1484" t="s">
        <v>283</v>
      </c>
      <c r="E14" s="1484">
        <v>1</v>
      </c>
      <c r="F14" s="1484">
        <v>1</v>
      </c>
    </row>
    <row r="15" spans="1:6" ht="23.15">
      <c r="A15" s="2257"/>
      <c r="B15" s="2257"/>
      <c r="C15" s="1484" t="s">
        <v>3265</v>
      </c>
      <c r="D15" s="1484" t="s">
        <v>3250</v>
      </c>
      <c r="E15" s="1484">
        <v>4</v>
      </c>
      <c r="F15" s="1484">
        <v>4</v>
      </c>
    </row>
    <row r="16" spans="1:6" ht="23.15">
      <c r="A16" s="2257"/>
      <c r="B16" s="2257"/>
      <c r="C16" s="1484" t="s">
        <v>3266</v>
      </c>
      <c r="D16" s="1484" t="s">
        <v>283</v>
      </c>
      <c r="E16" s="1484"/>
      <c r="F16" s="1484"/>
    </row>
    <row r="17" spans="1:6">
      <c r="A17" s="2257"/>
      <c r="B17" s="2257"/>
      <c r="C17" s="1484" t="s">
        <v>1041</v>
      </c>
      <c r="D17" s="1484" t="s">
        <v>283</v>
      </c>
      <c r="E17" s="1484"/>
      <c r="F17" s="1484"/>
    </row>
    <row r="18" spans="1:6">
      <c r="A18" s="2257"/>
      <c r="B18" s="2257"/>
      <c r="C18" s="1484" t="s">
        <v>3252</v>
      </c>
      <c r="D18" s="1484" t="s">
        <v>283</v>
      </c>
      <c r="E18" s="1485"/>
      <c r="F18" s="1484"/>
    </row>
    <row r="19" spans="1:6">
      <c r="A19" s="2257"/>
      <c r="B19" s="2257"/>
      <c r="C19" s="1484" t="s">
        <v>3253</v>
      </c>
      <c r="D19" s="1484" t="s">
        <v>283</v>
      </c>
      <c r="E19" s="1484" t="s">
        <v>3270</v>
      </c>
      <c r="F19" s="1484">
        <v>1</v>
      </c>
    </row>
    <row r="20" spans="1:6">
      <c r="A20" s="2257"/>
      <c r="B20" s="2257"/>
      <c r="C20" s="1484" t="s">
        <v>3267</v>
      </c>
      <c r="D20" s="1484" t="s">
        <v>283</v>
      </c>
      <c r="E20" s="1484"/>
      <c r="F20" s="1484"/>
    </row>
    <row r="21" spans="1:6" ht="23.15">
      <c r="A21" s="2257"/>
      <c r="B21" s="2257"/>
      <c r="C21" s="1484" t="s">
        <v>1042</v>
      </c>
      <c r="D21" s="1484" t="s">
        <v>283</v>
      </c>
      <c r="E21" s="1484"/>
      <c r="F21" s="1484"/>
    </row>
    <row r="22" spans="1:6" ht="23.15">
      <c r="A22" s="2257"/>
      <c r="B22" s="2257"/>
      <c r="C22" s="1484" t="s">
        <v>3254</v>
      </c>
      <c r="D22" s="1484" t="s">
        <v>283</v>
      </c>
      <c r="E22" s="1485"/>
      <c r="F22" s="1484"/>
    </row>
    <row r="23" spans="1:6" ht="23.15">
      <c r="A23" s="2257"/>
      <c r="B23" s="2257"/>
      <c r="C23" s="1484" t="s">
        <v>1043</v>
      </c>
      <c r="D23" s="1484" t="s">
        <v>283</v>
      </c>
      <c r="E23" s="1484">
        <v>7</v>
      </c>
      <c r="F23" s="1484"/>
    </row>
    <row r="24" spans="1:6">
      <c r="A24" s="2257"/>
      <c r="B24" s="2257"/>
      <c r="C24" s="1484" t="s">
        <v>1044</v>
      </c>
      <c r="D24" s="1484"/>
      <c r="E24" s="1484">
        <v>1</v>
      </c>
      <c r="F24" s="1484"/>
    </row>
    <row r="25" spans="1:6">
      <c r="A25" s="2257"/>
      <c r="B25" s="2257"/>
      <c r="C25" s="1484" t="s">
        <v>3268</v>
      </c>
      <c r="D25" s="1484"/>
      <c r="E25" s="1484" t="s">
        <v>3271</v>
      </c>
      <c r="F25" s="1484">
        <v>1</v>
      </c>
    </row>
    <row r="26" spans="1:6">
      <c r="A26" s="2257"/>
      <c r="B26" s="2257"/>
      <c r="C26" s="1484" t="s">
        <v>3269</v>
      </c>
      <c r="D26" s="1484"/>
      <c r="E26" s="1484">
        <v>2</v>
      </c>
      <c r="F26" s="1484">
        <v>2</v>
      </c>
    </row>
    <row r="27" spans="1:6">
      <c r="A27" s="2257"/>
      <c r="B27" s="2257"/>
      <c r="C27" s="1484" t="s">
        <v>1045</v>
      </c>
      <c r="D27" s="1484"/>
      <c r="E27" s="1484">
        <v>70</v>
      </c>
      <c r="F27" s="1484">
        <v>179</v>
      </c>
    </row>
    <row r="28" spans="1:6" ht="21.75" customHeight="1">
      <c r="A28" s="1555"/>
      <c r="B28" s="1555"/>
      <c r="C28" s="1555"/>
      <c r="D28" s="1555"/>
      <c r="E28" s="1555"/>
      <c r="F28" s="1555"/>
    </row>
    <row r="29" spans="1:6">
      <c r="A29" s="2257" t="s">
        <v>1046</v>
      </c>
      <c r="B29" s="2257" t="s">
        <v>3255</v>
      </c>
      <c r="C29" s="2258" t="s">
        <v>3716</v>
      </c>
      <c r="D29" s="2258"/>
      <c r="E29" s="2258"/>
      <c r="F29" s="2258"/>
    </row>
    <row r="30" spans="1:6">
      <c r="A30" s="2257"/>
      <c r="B30" s="2257"/>
      <c r="C30" s="2258"/>
      <c r="D30" s="2258"/>
      <c r="E30" s="2258"/>
      <c r="F30" s="2258"/>
    </row>
    <row r="31" spans="1:6" ht="5.25" customHeight="1">
      <c r="A31" s="2257"/>
      <c r="B31" s="2257"/>
      <c r="C31" s="2258"/>
      <c r="D31" s="2258"/>
      <c r="E31" s="2258"/>
      <c r="F31" s="2258"/>
    </row>
    <row r="32" spans="1:6" hidden="1">
      <c r="A32" s="2257"/>
      <c r="B32" s="2257"/>
      <c r="C32" s="2258"/>
      <c r="D32" s="2258"/>
      <c r="E32" s="2258"/>
      <c r="F32" s="2258"/>
    </row>
    <row r="33" spans="1:6">
      <c r="A33" s="2257"/>
      <c r="B33" s="2257"/>
      <c r="C33" s="1487" t="s">
        <v>173</v>
      </c>
      <c r="D33" s="1487" t="s">
        <v>173</v>
      </c>
      <c r="E33" s="1487" t="s">
        <v>173</v>
      </c>
      <c r="F33" s="1487" t="s">
        <v>173</v>
      </c>
    </row>
    <row r="34" spans="1:6">
      <c r="A34" s="2257"/>
      <c r="B34" s="2257"/>
      <c r="C34" s="2259" t="s">
        <v>3129</v>
      </c>
      <c r="D34" s="2259"/>
      <c r="E34" s="2259"/>
      <c r="F34" s="2259"/>
    </row>
    <row r="35" spans="1:6" ht="23.15">
      <c r="A35" s="2257"/>
      <c r="B35" s="2257"/>
      <c r="C35" s="1485" t="s">
        <v>3256</v>
      </c>
      <c r="D35" s="1485" t="s">
        <v>283</v>
      </c>
      <c r="E35" s="1488">
        <v>185</v>
      </c>
      <c r="F35" s="1485">
        <v>187</v>
      </c>
    </row>
    <row r="36" spans="1:6" ht="23.15">
      <c r="A36" s="2257"/>
      <c r="B36" s="2257"/>
      <c r="C36" s="1485" t="s">
        <v>3257</v>
      </c>
      <c r="D36" s="1485" t="s">
        <v>283</v>
      </c>
      <c r="E36" s="1488">
        <v>64</v>
      </c>
      <c r="F36" s="1485">
        <v>64</v>
      </c>
    </row>
    <row r="37" spans="1:6" ht="34.75">
      <c r="A37" s="2257"/>
      <c r="B37" s="2257"/>
      <c r="C37" s="1485" t="s">
        <v>3258</v>
      </c>
      <c r="D37" s="1485" t="s">
        <v>283</v>
      </c>
      <c r="E37" s="1488">
        <v>10</v>
      </c>
      <c r="F37" s="1485" t="s">
        <v>3311</v>
      </c>
    </row>
    <row r="38" spans="1:6" ht="45" customHeight="1">
      <c r="A38" s="2257"/>
      <c r="B38" s="2257"/>
      <c r="C38" s="1485" t="s">
        <v>3259</v>
      </c>
      <c r="D38" s="1485" t="s">
        <v>3260</v>
      </c>
      <c r="E38" s="1488">
        <v>4724</v>
      </c>
      <c r="F38" s="1485" t="s">
        <v>3312</v>
      </c>
    </row>
    <row r="39" spans="1:6">
      <c r="A39" s="1555"/>
      <c r="B39" s="1555"/>
      <c r="C39" s="1555"/>
      <c r="D39" s="1555"/>
      <c r="E39" s="1555"/>
      <c r="F39" s="1555"/>
    </row>
    <row r="40" spans="1:6">
      <c r="A40" s="2257" t="s">
        <v>1047</v>
      </c>
      <c r="B40" s="2257" t="s">
        <v>3731</v>
      </c>
      <c r="C40" s="2258" t="s">
        <v>3716</v>
      </c>
      <c r="D40" s="2258"/>
      <c r="E40" s="2258"/>
      <c r="F40" s="2258"/>
    </row>
    <row r="41" spans="1:6">
      <c r="A41" s="2257"/>
      <c r="B41" s="2257"/>
      <c r="C41" s="2258"/>
      <c r="D41" s="2258"/>
      <c r="E41" s="2258"/>
      <c r="F41" s="2258"/>
    </row>
    <row r="42" spans="1:6" ht="5.5" customHeight="1">
      <c r="A42" s="2257"/>
      <c r="B42" s="2257"/>
      <c r="C42" s="2258"/>
      <c r="D42" s="2258"/>
      <c r="E42" s="2258"/>
      <c r="F42" s="2258"/>
    </row>
    <row r="43" spans="1:6">
      <c r="A43" s="2257"/>
      <c r="B43" s="2257"/>
      <c r="C43" s="2258"/>
      <c r="D43" s="2258"/>
      <c r="E43" s="2258"/>
      <c r="F43" s="2258"/>
    </row>
    <row r="44" spans="1:6">
      <c r="A44" s="2257"/>
      <c r="B44" s="2257"/>
      <c r="C44" s="1487" t="s">
        <v>173</v>
      </c>
      <c r="D44" s="1487" t="s">
        <v>173</v>
      </c>
      <c r="E44" s="1487" t="s">
        <v>173</v>
      </c>
      <c r="F44" s="1487" t="s">
        <v>173</v>
      </c>
    </row>
    <row r="45" spans="1:6">
      <c r="A45" s="2257"/>
      <c r="B45" s="2257"/>
      <c r="C45" s="2259" t="s">
        <v>3129</v>
      </c>
      <c r="D45" s="2259"/>
      <c r="E45" s="2259"/>
      <c r="F45" s="2259"/>
    </row>
    <row r="46" spans="1:6" ht="79.95" customHeight="1">
      <c r="A46" s="2257"/>
      <c r="B46" s="2263"/>
      <c r="C46" s="1558" t="s">
        <v>3729</v>
      </c>
      <c r="D46" s="1481" t="s">
        <v>568</v>
      </c>
      <c r="E46" s="1488">
        <v>2</v>
      </c>
      <c r="F46" s="2264" t="s">
        <v>3732</v>
      </c>
    </row>
    <row r="47" spans="1:6" ht="25.75">
      <c r="A47" s="2257"/>
      <c r="B47" s="2263"/>
      <c r="C47" s="1558" t="s">
        <v>3730</v>
      </c>
      <c r="D47" s="1557" t="s">
        <v>568</v>
      </c>
      <c r="E47" s="1488">
        <v>0</v>
      </c>
      <c r="F47" s="2265"/>
    </row>
    <row r="48" spans="1:6">
      <c r="A48" s="1486"/>
      <c r="B48" s="1486"/>
      <c r="C48" s="1486"/>
      <c r="D48" s="1486"/>
      <c r="E48" s="1486"/>
      <c r="F48" s="1486"/>
    </row>
  </sheetData>
  <mergeCells count="14">
    <mergeCell ref="C45:F45"/>
    <mergeCell ref="B40:B47"/>
    <mergeCell ref="A40:A47"/>
    <mergeCell ref="F46:F47"/>
    <mergeCell ref="C40:F43"/>
    <mergeCell ref="A29:A38"/>
    <mergeCell ref="B29:B38"/>
    <mergeCell ref="C29:F32"/>
    <mergeCell ref="C34:F34"/>
    <mergeCell ref="A1:F1"/>
    <mergeCell ref="C3:F3"/>
    <mergeCell ref="C5:F5"/>
    <mergeCell ref="A3:A27"/>
    <mergeCell ref="B3:B2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Lapas21"/>
  <dimension ref="A1:G409"/>
  <sheetViews>
    <sheetView workbookViewId="0">
      <selection activeCell="A74" sqref="A74:D74"/>
    </sheetView>
  </sheetViews>
  <sheetFormatPr defaultRowHeight="12.45"/>
  <cols>
    <col min="1" max="1" width="58.53515625" customWidth="1"/>
    <col min="2" max="2" width="16.53515625" customWidth="1"/>
    <col min="5" max="5" width="1.84375" customWidth="1"/>
  </cols>
  <sheetData>
    <row r="1" spans="1:7" ht="15">
      <c r="A1" s="341" t="s">
        <v>960</v>
      </c>
      <c r="B1" s="341"/>
      <c r="C1" s="341"/>
      <c r="D1" s="341"/>
      <c r="E1" s="302"/>
      <c r="F1" s="302"/>
      <c r="G1" s="341"/>
    </row>
    <row r="2" spans="1:7" ht="12.9">
      <c r="A2" s="302"/>
      <c r="B2" s="302"/>
      <c r="C2" s="302"/>
      <c r="D2" s="2273"/>
      <c r="E2" s="2273"/>
      <c r="F2" s="302"/>
      <c r="G2" s="302"/>
    </row>
    <row r="3" spans="1:7" ht="13.3" thickBot="1">
      <c r="A3" s="304"/>
      <c r="B3" s="304"/>
      <c r="C3" s="304"/>
      <c r="D3" s="2274" t="s">
        <v>677</v>
      </c>
      <c r="E3" s="2274"/>
      <c r="F3" s="304"/>
      <c r="G3" s="302"/>
    </row>
    <row r="4" spans="1:7" ht="24.75" customHeight="1">
      <c r="A4" s="2275" t="s">
        <v>308</v>
      </c>
      <c r="B4" s="2275" t="s">
        <v>707</v>
      </c>
      <c r="C4" s="2275" t="s">
        <v>175</v>
      </c>
      <c r="D4" s="2277" t="s">
        <v>863</v>
      </c>
      <c r="E4" s="2278"/>
      <c r="F4" s="303" t="s">
        <v>864</v>
      </c>
      <c r="G4" s="342" t="s">
        <v>961</v>
      </c>
    </row>
    <row r="5" spans="1:7" ht="12.9" thickBot="1">
      <c r="A5" s="2276"/>
      <c r="B5" s="2276"/>
      <c r="C5" s="2276"/>
      <c r="D5" s="2279" t="s">
        <v>799</v>
      </c>
      <c r="E5" s="2280"/>
      <c r="F5" s="305" t="s">
        <v>799</v>
      </c>
      <c r="G5" s="342" t="s">
        <v>799</v>
      </c>
    </row>
    <row r="6" spans="1:7" ht="40.5" customHeight="1" thickBot="1">
      <c r="A6" s="2266" t="s">
        <v>697</v>
      </c>
      <c r="B6" s="2267"/>
      <c r="C6" s="2267"/>
      <c r="D6" s="2267"/>
      <c r="E6" s="2267"/>
      <c r="F6" s="2267"/>
      <c r="G6" s="343"/>
    </row>
    <row r="7" spans="1:7" ht="13.3" thickBot="1">
      <c r="A7" s="2266" t="s">
        <v>698</v>
      </c>
      <c r="B7" s="2267"/>
      <c r="C7" s="2267"/>
      <c r="D7" s="2267"/>
      <c r="E7" s="2267"/>
      <c r="F7" s="2267"/>
      <c r="G7" s="343"/>
    </row>
    <row r="8" spans="1:7" ht="22.5" customHeight="1" thickBot="1">
      <c r="A8" s="306" t="s">
        <v>699</v>
      </c>
      <c r="B8" s="307" t="s">
        <v>455</v>
      </c>
      <c r="C8" s="308" t="s">
        <v>456</v>
      </c>
      <c r="D8" s="2268">
        <v>85</v>
      </c>
      <c r="E8" s="2269"/>
      <c r="F8" s="309">
        <v>85</v>
      </c>
      <c r="G8" s="344">
        <v>85</v>
      </c>
    </row>
    <row r="9" spans="1:7" ht="29.25" customHeight="1" thickBot="1">
      <c r="A9" s="306" t="s">
        <v>843</v>
      </c>
      <c r="B9" s="307" t="s">
        <v>844</v>
      </c>
      <c r="C9" s="308" t="s">
        <v>249</v>
      </c>
      <c r="D9" s="2268" t="s">
        <v>845</v>
      </c>
      <c r="E9" s="2269"/>
      <c r="F9" s="309" t="s">
        <v>845</v>
      </c>
      <c r="G9" s="344" t="s">
        <v>845</v>
      </c>
    </row>
    <row r="10" spans="1:7" ht="31.5" customHeight="1" thickBot="1">
      <c r="A10" s="2270" t="s">
        <v>434</v>
      </c>
      <c r="B10" s="2271"/>
      <c r="C10" s="2271"/>
      <c r="D10" s="2271"/>
      <c r="E10" s="2272"/>
      <c r="F10" s="2272"/>
      <c r="G10" s="345"/>
    </row>
    <row r="11" spans="1:7" ht="27" customHeight="1" thickBot="1">
      <c r="A11" s="2286" t="s">
        <v>280</v>
      </c>
      <c r="B11" s="2287"/>
      <c r="C11" s="2287"/>
      <c r="D11" s="2287"/>
      <c r="E11" s="2288"/>
      <c r="F11" s="2288"/>
      <c r="G11" s="346"/>
    </row>
    <row r="12" spans="1:7" ht="13.3" thickBot="1">
      <c r="A12" s="2286" t="s">
        <v>281</v>
      </c>
      <c r="B12" s="2287"/>
      <c r="C12" s="2287"/>
      <c r="D12" s="2287"/>
      <c r="E12" s="2288"/>
      <c r="F12" s="2288"/>
      <c r="G12" s="346"/>
    </row>
    <row r="13" spans="1:7" ht="20.25" customHeight="1" thickBot="1">
      <c r="A13" s="306" t="s">
        <v>218</v>
      </c>
      <c r="B13" s="307" t="s">
        <v>282</v>
      </c>
      <c r="C13" s="308" t="s">
        <v>283</v>
      </c>
      <c r="D13" s="2268">
        <v>250</v>
      </c>
      <c r="E13" s="2269"/>
      <c r="F13" s="309">
        <v>250</v>
      </c>
      <c r="G13" s="344">
        <v>250</v>
      </c>
    </row>
    <row r="14" spans="1:7" ht="30" customHeight="1" thickBot="1">
      <c r="A14" s="306" t="s">
        <v>684</v>
      </c>
      <c r="B14" s="307" t="s">
        <v>247</v>
      </c>
      <c r="C14" s="308" t="s">
        <v>283</v>
      </c>
      <c r="D14" s="2268">
        <v>1400</v>
      </c>
      <c r="E14" s="2269"/>
      <c r="F14" s="309">
        <v>1400</v>
      </c>
      <c r="G14" s="344">
        <v>1400</v>
      </c>
    </row>
    <row r="15" spans="1:7" ht="33" customHeight="1" thickBot="1">
      <c r="A15" s="306" t="s">
        <v>111</v>
      </c>
      <c r="B15" s="307" t="s">
        <v>112</v>
      </c>
      <c r="C15" s="308" t="s">
        <v>456</v>
      </c>
      <c r="D15" s="2268">
        <v>99</v>
      </c>
      <c r="E15" s="2269"/>
      <c r="F15" s="309">
        <v>99</v>
      </c>
      <c r="G15" s="344">
        <v>99</v>
      </c>
    </row>
    <row r="16" spans="1:7" ht="36.75" customHeight="1" thickBot="1">
      <c r="A16" s="306" t="s">
        <v>865</v>
      </c>
      <c r="B16" s="307" t="s">
        <v>600</v>
      </c>
      <c r="C16" s="308" t="s">
        <v>283</v>
      </c>
      <c r="D16" s="2268">
        <v>11</v>
      </c>
      <c r="E16" s="2269"/>
      <c r="F16" s="309">
        <v>1</v>
      </c>
      <c r="G16" s="344">
        <v>10</v>
      </c>
    </row>
    <row r="17" spans="1:7" ht="13.3" thickBot="1">
      <c r="A17" s="2281" t="s">
        <v>113</v>
      </c>
      <c r="B17" s="2282"/>
      <c r="C17" s="2282"/>
      <c r="D17" s="2282"/>
      <c r="E17" s="2283"/>
      <c r="F17" s="2283"/>
      <c r="G17" s="347"/>
    </row>
    <row r="18" spans="1:7" ht="13.3" thickBot="1">
      <c r="A18" s="2284" t="s">
        <v>114</v>
      </c>
      <c r="B18" s="2285"/>
      <c r="C18" s="2285"/>
      <c r="D18" s="2285"/>
      <c r="E18" s="2283"/>
      <c r="F18" s="2283"/>
      <c r="G18" s="347"/>
    </row>
    <row r="19" spans="1:7" ht="13.3" thickBot="1">
      <c r="A19" s="310" t="s">
        <v>866</v>
      </c>
      <c r="B19" s="307" t="s">
        <v>689</v>
      </c>
      <c r="C19" s="308" t="s">
        <v>456</v>
      </c>
      <c r="D19" s="2268">
        <v>100</v>
      </c>
      <c r="E19" s="2269"/>
      <c r="F19" s="309">
        <v>100</v>
      </c>
      <c r="G19" s="344">
        <v>100</v>
      </c>
    </row>
    <row r="20" spans="1:7" ht="13.3" thickBot="1">
      <c r="A20" s="310" t="s">
        <v>687</v>
      </c>
      <c r="B20" s="307" t="s">
        <v>396</v>
      </c>
      <c r="C20" s="308" t="s">
        <v>283</v>
      </c>
      <c r="D20" s="2268">
        <v>450</v>
      </c>
      <c r="E20" s="2269"/>
      <c r="F20" s="309">
        <v>400</v>
      </c>
      <c r="G20" s="344">
        <v>450</v>
      </c>
    </row>
    <row r="21" spans="1:7" ht="13.3" thickBot="1">
      <c r="A21" s="2284" t="s">
        <v>453</v>
      </c>
      <c r="B21" s="2285"/>
      <c r="C21" s="2285"/>
      <c r="D21" s="2285"/>
      <c r="E21" s="2283"/>
      <c r="F21" s="2283"/>
      <c r="G21" s="347"/>
    </row>
    <row r="22" spans="1:7" ht="37.5" customHeight="1" thickBot="1">
      <c r="A22" s="311" t="s">
        <v>220</v>
      </c>
      <c r="B22" s="307" t="s">
        <v>415</v>
      </c>
      <c r="C22" s="308" t="s">
        <v>283</v>
      </c>
      <c r="D22" s="2268">
        <v>95</v>
      </c>
      <c r="E22" s="2269"/>
      <c r="F22" s="309">
        <v>100</v>
      </c>
      <c r="G22" s="344">
        <v>85</v>
      </c>
    </row>
    <row r="23" spans="1:7" ht="13.3" thickBot="1">
      <c r="A23" s="310" t="s">
        <v>479</v>
      </c>
      <c r="B23" s="307" t="s">
        <v>386</v>
      </c>
      <c r="C23" s="308" t="s">
        <v>283</v>
      </c>
      <c r="D23" s="2268">
        <v>900</v>
      </c>
      <c r="E23" s="2269"/>
      <c r="F23" s="309">
        <v>900</v>
      </c>
      <c r="G23" s="344">
        <v>900</v>
      </c>
    </row>
    <row r="24" spans="1:7" ht="35.25" customHeight="1" thickBot="1">
      <c r="A24" s="312" t="s">
        <v>812</v>
      </c>
      <c r="B24" s="307" t="s">
        <v>387</v>
      </c>
      <c r="C24" s="308" t="s">
        <v>283</v>
      </c>
      <c r="D24" s="2268">
        <v>4300</v>
      </c>
      <c r="E24" s="2269"/>
      <c r="F24" s="309">
        <v>4200</v>
      </c>
      <c r="G24" s="344">
        <v>4500</v>
      </c>
    </row>
    <row r="25" spans="1:7" ht="13.3" thickBot="1">
      <c r="A25" s="310" t="s">
        <v>389</v>
      </c>
      <c r="B25" s="307" t="s">
        <v>390</v>
      </c>
      <c r="C25" s="308" t="s">
        <v>283</v>
      </c>
      <c r="D25" s="2268">
        <v>1100</v>
      </c>
      <c r="E25" s="2269"/>
      <c r="F25" s="309">
        <v>1100</v>
      </c>
      <c r="G25" s="344">
        <v>1150</v>
      </c>
    </row>
    <row r="26" spans="1:7" ht="13.3" thickBot="1">
      <c r="A26" s="310" t="s">
        <v>867</v>
      </c>
      <c r="B26" s="307" t="s">
        <v>650</v>
      </c>
      <c r="C26" s="308" t="s">
        <v>283</v>
      </c>
      <c r="D26" s="2268">
        <v>104</v>
      </c>
      <c r="E26" s="2269"/>
      <c r="F26" s="309">
        <v>104</v>
      </c>
      <c r="G26" s="344">
        <v>104</v>
      </c>
    </row>
    <row r="27" spans="1:7" ht="13.3" thickBot="1">
      <c r="A27" s="310" t="s">
        <v>813</v>
      </c>
      <c r="B27" s="307" t="s">
        <v>520</v>
      </c>
      <c r="C27" s="308" t="s">
        <v>283</v>
      </c>
      <c r="D27" s="2268">
        <v>1</v>
      </c>
      <c r="E27" s="2269"/>
      <c r="F27" s="309">
        <v>1</v>
      </c>
      <c r="G27" s="344">
        <v>1</v>
      </c>
    </row>
    <row r="28" spans="1:7" ht="27.75" customHeight="1" thickBot="1">
      <c r="A28" s="335" t="s">
        <v>72</v>
      </c>
      <c r="B28" s="336"/>
      <c r="C28" s="336"/>
      <c r="D28" s="336"/>
      <c r="E28" s="329"/>
      <c r="F28" s="329"/>
      <c r="G28" s="347"/>
    </row>
    <row r="29" spans="1:7" ht="13.3" thickBot="1">
      <c r="A29" s="310" t="s">
        <v>685</v>
      </c>
      <c r="B29" s="307" t="s">
        <v>73</v>
      </c>
      <c r="C29" s="308" t="s">
        <v>283</v>
      </c>
      <c r="D29" s="2268">
        <v>10</v>
      </c>
      <c r="E29" s="2269"/>
      <c r="F29" s="309">
        <v>10</v>
      </c>
      <c r="G29" s="344">
        <v>10</v>
      </c>
    </row>
    <row r="30" spans="1:7" ht="13.3" thickBot="1">
      <c r="A30" s="310" t="s">
        <v>868</v>
      </c>
      <c r="B30" s="307" t="s">
        <v>465</v>
      </c>
      <c r="C30" s="308" t="s">
        <v>283</v>
      </c>
      <c r="D30" s="2268">
        <v>3</v>
      </c>
      <c r="E30" s="2269"/>
      <c r="F30" s="309">
        <v>3</v>
      </c>
      <c r="G30" s="344">
        <v>5</v>
      </c>
    </row>
    <row r="31" spans="1:7" ht="26.25" customHeight="1" thickBot="1">
      <c r="A31" s="335" t="s">
        <v>579</v>
      </c>
      <c r="B31" s="336"/>
      <c r="C31" s="336"/>
      <c r="D31" s="336"/>
      <c r="E31" s="329"/>
      <c r="F31" s="329"/>
      <c r="G31" s="347"/>
    </row>
    <row r="32" spans="1:7" ht="13.3" thickBot="1">
      <c r="A32" s="310" t="s">
        <v>869</v>
      </c>
      <c r="B32" s="307" t="s">
        <v>750</v>
      </c>
      <c r="C32" s="308" t="s">
        <v>456</v>
      </c>
      <c r="D32" s="2268">
        <v>100</v>
      </c>
      <c r="E32" s="2269"/>
      <c r="F32" s="309">
        <v>100</v>
      </c>
      <c r="G32" s="344">
        <v>100</v>
      </c>
    </row>
    <row r="33" spans="1:7" ht="28.5" customHeight="1" thickBot="1">
      <c r="A33" s="312" t="s">
        <v>126</v>
      </c>
      <c r="B33" s="307" t="s">
        <v>574</v>
      </c>
      <c r="C33" s="308" t="s">
        <v>456</v>
      </c>
      <c r="D33" s="2268">
        <v>100</v>
      </c>
      <c r="E33" s="2269"/>
      <c r="F33" s="309">
        <v>100</v>
      </c>
      <c r="G33" s="344">
        <v>100</v>
      </c>
    </row>
    <row r="34" spans="1:7" ht="42.75" customHeight="1" thickBot="1">
      <c r="A34" s="312" t="s">
        <v>315</v>
      </c>
      <c r="B34" s="307" t="s">
        <v>316</v>
      </c>
      <c r="C34" s="308" t="s">
        <v>456</v>
      </c>
      <c r="D34" s="2268">
        <v>100</v>
      </c>
      <c r="E34" s="2269"/>
      <c r="F34" s="309">
        <v>100</v>
      </c>
      <c r="G34" s="344">
        <v>100</v>
      </c>
    </row>
    <row r="35" spans="1:7" ht="13.3" thickBot="1">
      <c r="A35" s="2284" t="s">
        <v>751</v>
      </c>
      <c r="B35" s="2285"/>
      <c r="C35" s="2285"/>
      <c r="D35" s="2285"/>
      <c r="E35" s="2283"/>
      <c r="F35" s="2283"/>
      <c r="G35" s="347"/>
    </row>
    <row r="36" spans="1:7" ht="13.3" thickBot="1">
      <c r="A36" s="310" t="s">
        <v>870</v>
      </c>
      <c r="B36" s="307" t="s">
        <v>34</v>
      </c>
      <c r="C36" s="308" t="s">
        <v>456</v>
      </c>
      <c r="D36" s="2268">
        <v>100</v>
      </c>
      <c r="E36" s="2269"/>
      <c r="F36" s="309">
        <v>100</v>
      </c>
      <c r="G36" s="344">
        <v>90</v>
      </c>
    </row>
    <row r="37" spans="1:7" ht="13.3" thickBot="1">
      <c r="A37" s="310" t="s">
        <v>871</v>
      </c>
      <c r="B37" s="307" t="s">
        <v>22</v>
      </c>
      <c r="C37" s="313" t="s">
        <v>24</v>
      </c>
      <c r="D37" s="2268">
        <v>40</v>
      </c>
      <c r="E37" s="2269"/>
      <c r="F37" s="309">
        <v>40</v>
      </c>
      <c r="G37" s="344">
        <v>35</v>
      </c>
    </row>
    <row r="38" spans="1:7" ht="38.25" customHeight="1" thickBot="1">
      <c r="A38" s="2286" t="s">
        <v>170</v>
      </c>
      <c r="B38" s="2287"/>
      <c r="C38" s="2287"/>
      <c r="D38" s="2287"/>
      <c r="E38" s="2288"/>
      <c r="F38" s="2288"/>
      <c r="G38" s="346"/>
    </row>
    <row r="39" spans="1:7" ht="13.3" thickBot="1">
      <c r="A39" s="2286" t="s">
        <v>281</v>
      </c>
      <c r="B39" s="2287"/>
      <c r="C39" s="2287"/>
      <c r="D39" s="2287"/>
      <c r="E39" s="2288"/>
      <c r="F39" s="2288"/>
      <c r="G39" s="346"/>
    </row>
    <row r="40" spans="1:7" ht="38.25" customHeight="1" thickBot="1">
      <c r="A40" s="306" t="s">
        <v>438</v>
      </c>
      <c r="B40" s="307" t="s">
        <v>439</v>
      </c>
      <c r="C40" s="308" t="s">
        <v>456</v>
      </c>
      <c r="D40" s="2268">
        <v>50</v>
      </c>
      <c r="E40" s="2269"/>
      <c r="F40" s="309">
        <v>50</v>
      </c>
      <c r="G40" s="344">
        <v>40</v>
      </c>
    </row>
    <row r="41" spans="1:7" ht="29.25" customHeight="1" thickBot="1">
      <c r="A41" s="306" t="s">
        <v>440</v>
      </c>
      <c r="B41" s="307" t="s">
        <v>441</v>
      </c>
      <c r="C41" s="308" t="s">
        <v>283</v>
      </c>
      <c r="D41" s="2268">
        <v>500</v>
      </c>
      <c r="E41" s="2269"/>
      <c r="F41" s="309">
        <v>550</v>
      </c>
      <c r="G41" s="344">
        <v>400</v>
      </c>
    </row>
    <row r="42" spans="1:7" ht="27.75" customHeight="1" thickBot="1">
      <c r="A42" s="306" t="s">
        <v>872</v>
      </c>
      <c r="B42" s="307" t="s">
        <v>873</v>
      </c>
      <c r="C42" s="308" t="s">
        <v>283</v>
      </c>
      <c r="D42" s="2268">
        <v>2</v>
      </c>
      <c r="E42" s="2269"/>
      <c r="F42" s="309">
        <v>3</v>
      </c>
      <c r="G42" s="344">
        <v>1</v>
      </c>
    </row>
    <row r="43" spans="1:7" ht="13.3" thickBot="1">
      <c r="A43" s="2281" t="s">
        <v>113</v>
      </c>
      <c r="B43" s="2282"/>
      <c r="C43" s="2282"/>
      <c r="D43" s="2282"/>
      <c r="E43" s="2283"/>
      <c r="F43" s="2283"/>
      <c r="G43" s="347"/>
    </row>
    <row r="44" spans="1:7" ht="13.3" thickBot="1">
      <c r="A44" s="2284" t="s">
        <v>487</v>
      </c>
      <c r="B44" s="2285"/>
      <c r="C44" s="2285"/>
      <c r="D44" s="2285"/>
      <c r="E44" s="2283"/>
      <c r="F44" s="2283"/>
      <c r="G44" s="347"/>
    </row>
    <row r="45" spans="1:7" ht="30.75" customHeight="1" thickBot="1">
      <c r="A45" s="312" t="s">
        <v>874</v>
      </c>
      <c r="B45" s="307" t="s">
        <v>538</v>
      </c>
      <c r="C45" s="313" t="s">
        <v>539</v>
      </c>
      <c r="D45" s="2268">
        <v>50</v>
      </c>
      <c r="E45" s="2269"/>
      <c r="F45" s="309">
        <v>60</v>
      </c>
      <c r="G45" s="344">
        <v>46</v>
      </c>
    </row>
    <row r="46" spans="1:7" ht="13.3" thickBot="1">
      <c r="A46" s="2284" t="s">
        <v>875</v>
      </c>
      <c r="B46" s="2285"/>
      <c r="C46" s="2285"/>
      <c r="D46" s="2285"/>
      <c r="E46" s="2283"/>
      <c r="F46" s="2283"/>
      <c r="G46" s="347"/>
    </row>
    <row r="47" spans="1:7" ht="36.75" customHeight="1" thickBot="1">
      <c r="A47" s="312" t="s">
        <v>814</v>
      </c>
      <c r="B47" s="307" t="s">
        <v>352</v>
      </c>
      <c r="C47" s="313" t="s">
        <v>283</v>
      </c>
      <c r="D47" s="2268">
        <v>3</v>
      </c>
      <c r="E47" s="2269"/>
      <c r="F47" s="309">
        <v>3</v>
      </c>
      <c r="G47" s="344">
        <v>3</v>
      </c>
    </row>
    <row r="48" spans="1:7" ht="30.75" customHeight="1" thickBot="1">
      <c r="A48" s="312" t="s">
        <v>876</v>
      </c>
      <c r="B48" s="307" t="s">
        <v>349</v>
      </c>
      <c r="C48" s="308" t="s">
        <v>456</v>
      </c>
      <c r="D48" s="2268">
        <v>60</v>
      </c>
      <c r="E48" s="2269"/>
      <c r="F48" s="309">
        <v>60</v>
      </c>
      <c r="G48" s="344">
        <v>70</v>
      </c>
    </row>
    <row r="49" spans="1:7" ht="31.5" customHeight="1" thickBot="1">
      <c r="A49" s="312" t="s">
        <v>57</v>
      </c>
      <c r="B49" s="307" t="s">
        <v>350</v>
      </c>
      <c r="C49" s="308" t="s">
        <v>283</v>
      </c>
      <c r="D49" s="2268">
        <v>2</v>
      </c>
      <c r="E49" s="2269"/>
      <c r="F49" s="309">
        <v>2</v>
      </c>
      <c r="G49" s="344">
        <v>2</v>
      </c>
    </row>
    <row r="50" spans="1:7" ht="13.3" thickBot="1">
      <c r="A50" s="2284" t="s">
        <v>837</v>
      </c>
      <c r="B50" s="2285"/>
      <c r="C50" s="2285"/>
      <c r="D50" s="2285"/>
      <c r="E50" s="2283"/>
      <c r="F50" s="2283"/>
      <c r="G50" s="347"/>
    </row>
    <row r="51" spans="1:7" ht="13.3" thickBot="1">
      <c r="A51" s="310" t="s">
        <v>686</v>
      </c>
      <c r="B51" s="307" t="s">
        <v>838</v>
      </c>
      <c r="C51" s="308" t="s">
        <v>283</v>
      </c>
      <c r="D51" s="2268">
        <v>3</v>
      </c>
      <c r="E51" s="2269"/>
      <c r="F51" s="309">
        <v>3</v>
      </c>
      <c r="G51" s="344">
        <v>4</v>
      </c>
    </row>
    <row r="52" spans="1:7" ht="13.3" thickBot="1">
      <c r="A52" s="310" t="s">
        <v>504</v>
      </c>
      <c r="B52" s="307" t="s">
        <v>340</v>
      </c>
      <c r="C52" s="308" t="s">
        <v>283</v>
      </c>
      <c r="D52" s="2268">
        <v>1</v>
      </c>
      <c r="E52" s="2269"/>
      <c r="F52" s="309">
        <v>1</v>
      </c>
      <c r="G52" s="344">
        <v>0</v>
      </c>
    </row>
    <row r="53" spans="1:7" ht="27.75" customHeight="1" thickBot="1">
      <c r="A53" s="2290" t="s">
        <v>528</v>
      </c>
      <c r="B53" s="2291"/>
      <c r="C53" s="2291"/>
      <c r="D53" s="2291"/>
      <c r="E53" s="2292"/>
      <c r="F53" s="2292"/>
      <c r="G53" s="348"/>
    </row>
    <row r="54" spans="1:7" ht="13.3" thickBot="1">
      <c r="A54" s="310" t="s">
        <v>12</v>
      </c>
      <c r="B54" s="307" t="s">
        <v>13</v>
      </c>
      <c r="C54" s="308" t="s">
        <v>283</v>
      </c>
      <c r="D54" s="2268">
        <v>9</v>
      </c>
      <c r="E54" s="2269"/>
      <c r="F54" s="309">
        <v>10</v>
      </c>
      <c r="G54" s="344">
        <v>8</v>
      </c>
    </row>
    <row r="55" spans="1:7" ht="13.3" thickBot="1">
      <c r="A55" s="310" t="s">
        <v>407</v>
      </c>
      <c r="B55" s="307" t="s">
        <v>739</v>
      </c>
      <c r="C55" s="308" t="s">
        <v>283</v>
      </c>
      <c r="D55" s="2268">
        <v>0</v>
      </c>
      <c r="E55" s="2269"/>
      <c r="F55" s="309">
        <v>0</v>
      </c>
      <c r="G55" s="344">
        <v>1</v>
      </c>
    </row>
    <row r="56" spans="1:7" ht="25.75">
      <c r="A56" s="314" t="s">
        <v>877</v>
      </c>
      <c r="B56" s="2293" t="s">
        <v>822</v>
      </c>
      <c r="C56" s="2296" t="s">
        <v>283</v>
      </c>
      <c r="D56" s="2299">
        <v>2</v>
      </c>
      <c r="E56" s="2300"/>
      <c r="F56" s="2299">
        <v>2</v>
      </c>
      <c r="G56" s="2340">
        <v>2</v>
      </c>
    </row>
    <row r="57" spans="1:7" ht="13.3" thickBot="1">
      <c r="A57" s="312" t="s">
        <v>878</v>
      </c>
      <c r="B57" s="2294"/>
      <c r="C57" s="2297"/>
      <c r="D57" s="2301"/>
      <c r="E57" s="2302"/>
      <c r="F57" s="2301"/>
      <c r="G57" s="2340"/>
    </row>
    <row r="58" spans="1:7" ht="26.15" thickBot="1">
      <c r="A58" s="312" t="s">
        <v>62</v>
      </c>
      <c r="B58" s="2294"/>
      <c r="C58" s="2297"/>
      <c r="D58" s="2268">
        <v>2</v>
      </c>
      <c r="E58" s="2269"/>
      <c r="F58" s="309">
        <v>2</v>
      </c>
      <c r="G58" s="344">
        <v>2</v>
      </c>
    </row>
    <row r="59" spans="1:7" ht="36.75" customHeight="1" thickBot="1">
      <c r="A59" s="312" t="s">
        <v>879</v>
      </c>
      <c r="B59" s="2294"/>
      <c r="C59" s="2297"/>
      <c r="D59" s="2268">
        <v>2</v>
      </c>
      <c r="E59" s="2269"/>
      <c r="F59" s="309">
        <v>2</v>
      </c>
      <c r="G59" s="344">
        <v>2</v>
      </c>
    </row>
    <row r="60" spans="1:7" ht="38.25" customHeight="1" thickBot="1">
      <c r="A60" s="312" t="s">
        <v>880</v>
      </c>
      <c r="B60" s="2295"/>
      <c r="C60" s="2298"/>
      <c r="D60" s="2268">
        <v>52</v>
      </c>
      <c r="E60" s="2269"/>
      <c r="F60" s="309">
        <v>52</v>
      </c>
      <c r="G60" s="344">
        <v>52</v>
      </c>
    </row>
    <row r="61" spans="1:7" ht="27" customHeight="1" thickBot="1">
      <c r="A61" s="2266" t="s">
        <v>38</v>
      </c>
      <c r="B61" s="2267"/>
      <c r="C61" s="2267"/>
      <c r="D61" s="2267"/>
      <c r="E61" s="2289"/>
      <c r="F61" s="2289"/>
      <c r="G61" s="349"/>
    </row>
    <row r="62" spans="1:7" ht="13.3" thickBot="1">
      <c r="A62" s="2266" t="s">
        <v>698</v>
      </c>
      <c r="B62" s="2267"/>
      <c r="C62" s="2267"/>
      <c r="D62" s="2267"/>
      <c r="E62" s="2289"/>
      <c r="F62" s="2289"/>
      <c r="G62" s="349"/>
    </row>
    <row r="63" spans="1:7" ht="37.5" customHeight="1" thickBot="1">
      <c r="A63" s="306" t="s">
        <v>451</v>
      </c>
      <c r="B63" s="307" t="s">
        <v>624</v>
      </c>
      <c r="C63" s="308" t="s">
        <v>456</v>
      </c>
      <c r="D63" s="2268">
        <v>65</v>
      </c>
      <c r="E63" s="2269"/>
      <c r="F63" s="309">
        <v>65</v>
      </c>
      <c r="G63" s="344">
        <v>65</v>
      </c>
    </row>
    <row r="64" spans="1:7" ht="40.5" customHeight="1" thickBot="1">
      <c r="A64" s="306" t="s">
        <v>503</v>
      </c>
      <c r="B64" s="307" t="s">
        <v>625</v>
      </c>
      <c r="C64" s="308" t="s">
        <v>283</v>
      </c>
      <c r="D64" s="2268">
        <v>25</v>
      </c>
      <c r="E64" s="2269"/>
      <c r="F64" s="309">
        <v>25</v>
      </c>
      <c r="G64" s="344">
        <v>23</v>
      </c>
    </row>
    <row r="65" spans="1:7" ht="36" customHeight="1" thickBot="1">
      <c r="A65" s="306" t="s">
        <v>881</v>
      </c>
      <c r="B65" s="307" t="s">
        <v>626</v>
      </c>
      <c r="C65" s="308" t="s">
        <v>456</v>
      </c>
      <c r="D65" s="2305">
        <v>17</v>
      </c>
      <c r="E65" s="2306"/>
      <c r="F65" s="315">
        <v>17</v>
      </c>
      <c r="G65" s="350">
        <v>16</v>
      </c>
    </row>
    <row r="66" spans="1:7" ht="13.3" thickBot="1">
      <c r="A66" s="306" t="s">
        <v>635</v>
      </c>
      <c r="B66" s="307" t="s">
        <v>472</v>
      </c>
      <c r="C66" s="308" t="s">
        <v>283</v>
      </c>
      <c r="D66" s="2305">
        <v>2</v>
      </c>
      <c r="E66" s="2306"/>
      <c r="F66" s="315">
        <v>2</v>
      </c>
      <c r="G66" s="350">
        <v>2</v>
      </c>
    </row>
    <row r="67" spans="1:7" ht="32.25" customHeight="1" thickBot="1">
      <c r="A67" s="306" t="s">
        <v>471</v>
      </c>
      <c r="B67" s="307" t="s">
        <v>82</v>
      </c>
      <c r="C67" s="308" t="s">
        <v>283</v>
      </c>
      <c r="D67" s="2305">
        <v>40</v>
      </c>
      <c r="E67" s="2306"/>
      <c r="F67" s="315">
        <v>40</v>
      </c>
      <c r="G67" s="350">
        <v>40</v>
      </c>
    </row>
    <row r="68" spans="1:7" ht="37.5" customHeight="1" thickBot="1">
      <c r="A68" s="306" t="s">
        <v>81</v>
      </c>
      <c r="B68" s="307" t="s">
        <v>119</v>
      </c>
      <c r="C68" s="308" t="s">
        <v>283</v>
      </c>
      <c r="D68" s="2305" t="s">
        <v>882</v>
      </c>
      <c r="E68" s="2306"/>
      <c r="F68" s="315" t="s">
        <v>882</v>
      </c>
      <c r="G68" s="350" t="s">
        <v>882</v>
      </c>
    </row>
    <row r="69" spans="1:7" ht="30.75" customHeight="1" thickBot="1">
      <c r="A69" s="306" t="s">
        <v>118</v>
      </c>
      <c r="B69" s="307" t="s">
        <v>676</v>
      </c>
      <c r="C69" s="308" t="s">
        <v>456</v>
      </c>
      <c r="D69" s="2268">
        <v>6.5</v>
      </c>
      <c r="E69" s="2269"/>
      <c r="F69" s="309">
        <v>6.5</v>
      </c>
      <c r="G69" s="344">
        <v>6.6</v>
      </c>
    </row>
    <row r="70" spans="1:7" ht="35.25" customHeight="1" thickBot="1">
      <c r="A70" s="306" t="s">
        <v>290</v>
      </c>
      <c r="B70" s="307" t="s">
        <v>511</v>
      </c>
      <c r="C70" s="308" t="s">
        <v>283</v>
      </c>
      <c r="D70" s="2268" t="s">
        <v>295</v>
      </c>
      <c r="E70" s="2269"/>
      <c r="F70" s="309" t="s">
        <v>295</v>
      </c>
      <c r="G70" s="344" t="s">
        <v>294</v>
      </c>
    </row>
    <row r="71" spans="1:7" ht="32.25" customHeight="1" thickBot="1">
      <c r="A71" s="306" t="s">
        <v>675</v>
      </c>
      <c r="B71" s="307" t="s">
        <v>846</v>
      </c>
      <c r="C71" s="308" t="s">
        <v>283</v>
      </c>
      <c r="D71" s="2303" t="s">
        <v>654</v>
      </c>
      <c r="E71" s="2304"/>
      <c r="F71" s="316" t="s">
        <v>654</v>
      </c>
      <c r="G71" s="351" t="s">
        <v>654</v>
      </c>
    </row>
    <row r="72" spans="1:7" ht="32.6" thickBot="1">
      <c r="A72" s="306" t="s">
        <v>510</v>
      </c>
      <c r="B72" s="307" t="s">
        <v>291</v>
      </c>
      <c r="C72" s="308" t="s">
        <v>283</v>
      </c>
      <c r="D72" s="2303" t="s">
        <v>654</v>
      </c>
      <c r="E72" s="2304"/>
      <c r="F72" s="316" t="s">
        <v>654</v>
      </c>
      <c r="G72" s="351" t="s">
        <v>654</v>
      </c>
    </row>
    <row r="73" spans="1:7" ht="31.5" customHeight="1" thickBot="1">
      <c r="A73" s="2270" t="s">
        <v>416</v>
      </c>
      <c r="B73" s="2271"/>
      <c r="C73" s="2271"/>
      <c r="D73" s="2271"/>
      <c r="E73" s="2272"/>
      <c r="F73" s="2272"/>
      <c r="G73" s="345"/>
    </row>
    <row r="74" spans="1:7" ht="27" customHeight="1" thickBot="1">
      <c r="A74" s="2286" t="s">
        <v>647</v>
      </c>
      <c r="B74" s="2287"/>
      <c r="C74" s="2287"/>
      <c r="D74" s="2287"/>
      <c r="E74" s="2288"/>
      <c r="F74" s="2288"/>
      <c r="G74" s="346"/>
    </row>
    <row r="75" spans="1:7" ht="13.3" thickBot="1">
      <c r="A75" s="2286" t="s">
        <v>281</v>
      </c>
      <c r="B75" s="2287"/>
      <c r="C75" s="2287"/>
      <c r="D75" s="2287"/>
      <c r="E75" s="2288"/>
      <c r="F75" s="2288"/>
      <c r="G75" s="346"/>
    </row>
    <row r="76" spans="1:7" ht="36" customHeight="1" thickBot="1">
      <c r="A76" s="306" t="s">
        <v>135</v>
      </c>
      <c r="B76" s="317" t="s">
        <v>648</v>
      </c>
      <c r="C76" s="308" t="s">
        <v>283</v>
      </c>
      <c r="D76" s="2268">
        <v>165</v>
      </c>
      <c r="E76" s="2269"/>
      <c r="F76" s="309">
        <v>165</v>
      </c>
      <c r="G76" s="344">
        <v>160</v>
      </c>
    </row>
    <row r="77" spans="1:7" ht="28.5" customHeight="1" thickBot="1">
      <c r="A77" s="306" t="s">
        <v>646</v>
      </c>
      <c r="B77" s="317" t="s">
        <v>816</v>
      </c>
      <c r="C77" s="308" t="s">
        <v>456</v>
      </c>
      <c r="D77" s="2268">
        <v>98</v>
      </c>
      <c r="E77" s="2269"/>
      <c r="F77" s="309">
        <v>98</v>
      </c>
      <c r="G77" s="344">
        <v>98</v>
      </c>
    </row>
    <row r="78" spans="1:7" ht="38.25" customHeight="1" thickBot="1">
      <c r="A78" s="306" t="s">
        <v>136</v>
      </c>
      <c r="B78" s="317" t="s">
        <v>541</v>
      </c>
      <c r="C78" s="308" t="s">
        <v>283</v>
      </c>
      <c r="D78" s="2268">
        <v>14</v>
      </c>
      <c r="E78" s="2269"/>
      <c r="F78" s="309">
        <v>16</v>
      </c>
      <c r="G78" s="344">
        <v>12</v>
      </c>
    </row>
    <row r="79" spans="1:7" ht="30.75" customHeight="1" thickBot="1">
      <c r="A79" s="306" t="s">
        <v>540</v>
      </c>
      <c r="B79" s="2307" t="s">
        <v>77</v>
      </c>
      <c r="C79" s="319"/>
      <c r="D79" s="2309"/>
      <c r="E79" s="2310"/>
      <c r="F79" s="320"/>
      <c r="G79" s="289"/>
    </row>
    <row r="80" spans="1:7" ht="19.5" customHeight="1" thickBot="1">
      <c r="A80" s="306" t="s">
        <v>542</v>
      </c>
      <c r="B80" s="2308"/>
      <c r="C80" s="308" t="s">
        <v>456</v>
      </c>
      <c r="D80" s="2268">
        <v>99</v>
      </c>
      <c r="E80" s="2269"/>
      <c r="F80" s="309">
        <v>99</v>
      </c>
      <c r="G80" s="344">
        <v>99</v>
      </c>
    </row>
    <row r="81" spans="1:7" ht="20.25" customHeight="1" thickBot="1">
      <c r="A81" s="306" t="s">
        <v>76</v>
      </c>
      <c r="B81" s="317" t="s">
        <v>137</v>
      </c>
      <c r="C81" s="308" t="s">
        <v>456</v>
      </c>
      <c r="D81" s="2268">
        <v>99</v>
      </c>
      <c r="E81" s="2269"/>
      <c r="F81" s="309">
        <v>99</v>
      </c>
      <c r="G81" s="344">
        <v>99</v>
      </c>
    </row>
    <row r="82" spans="1:7" ht="26.25" customHeight="1" thickBot="1">
      <c r="A82" s="2281" t="s">
        <v>113</v>
      </c>
      <c r="B82" s="2282"/>
      <c r="C82" s="2282"/>
      <c r="D82" s="2282"/>
      <c r="E82" s="2283"/>
      <c r="F82" s="2283"/>
      <c r="G82" s="347"/>
    </row>
    <row r="83" spans="1:7" ht="47.25" customHeight="1" thickBot="1">
      <c r="A83" s="2336" t="s">
        <v>959</v>
      </c>
      <c r="B83" s="2337"/>
      <c r="C83" s="2337"/>
      <c r="D83" s="2337"/>
      <c r="E83" s="2337"/>
      <c r="F83" s="2337"/>
      <c r="G83" s="352"/>
    </row>
    <row r="84" spans="1:7" ht="21.75" customHeight="1" thickBot="1">
      <c r="A84" s="311" t="s">
        <v>627</v>
      </c>
      <c r="B84" s="317" t="s">
        <v>628</v>
      </c>
      <c r="C84" s="308" t="s">
        <v>283</v>
      </c>
      <c r="D84" s="2311">
        <v>770</v>
      </c>
      <c r="E84" s="2312"/>
      <c r="F84" s="321">
        <v>780</v>
      </c>
      <c r="G84" s="353">
        <v>760</v>
      </c>
    </row>
    <row r="85" spans="1:7" ht="30" customHeight="1" thickBot="1">
      <c r="A85" s="311" t="s">
        <v>148</v>
      </c>
      <c r="B85" s="317" t="s">
        <v>171</v>
      </c>
      <c r="C85" s="322" t="s">
        <v>283</v>
      </c>
      <c r="D85" s="2311">
        <v>190</v>
      </c>
      <c r="E85" s="2312"/>
      <c r="F85" s="321">
        <v>190</v>
      </c>
      <c r="G85" s="353">
        <v>180</v>
      </c>
    </row>
    <row r="86" spans="1:7" ht="21.75" customHeight="1" thickBot="1">
      <c r="A86" s="311" t="s">
        <v>188</v>
      </c>
      <c r="B86" s="317" t="s">
        <v>189</v>
      </c>
      <c r="C86" s="322" t="s">
        <v>283</v>
      </c>
      <c r="D86" s="2311">
        <v>770</v>
      </c>
      <c r="E86" s="2312"/>
      <c r="F86" s="321">
        <v>780</v>
      </c>
      <c r="G86" s="353">
        <v>760</v>
      </c>
    </row>
    <row r="87" spans="1:7" ht="32.25" customHeight="1" thickBot="1">
      <c r="A87" s="311" t="s">
        <v>190</v>
      </c>
      <c r="B87" s="317" t="s">
        <v>187</v>
      </c>
      <c r="C87" s="322" t="s">
        <v>283</v>
      </c>
      <c r="D87" s="2311">
        <v>890</v>
      </c>
      <c r="E87" s="2312"/>
      <c r="F87" s="321">
        <v>890</v>
      </c>
      <c r="G87" s="353">
        <v>890</v>
      </c>
    </row>
    <row r="88" spans="1:7" ht="30" customHeight="1" thickBot="1">
      <c r="A88" s="311" t="s">
        <v>478</v>
      </c>
      <c r="B88" s="317" t="s">
        <v>419</v>
      </c>
      <c r="C88" s="322" t="s">
        <v>283</v>
      </c>
      <c r="D88" s="2311">
        <v>200</v>
      </c>
      <c r="E88" s="2312"/>
      <c r="F88" s="321">
        <v>210</v>
      </c>
      <c r="G88" s="353">
        <v>200</v>
      </c>
    </row>
    <row r="89" spans="1:7" ht="33.75" customHeight="1" thickBot="1">
      <c r="A89" s="311" t="s">
        <v>138</v>
      </c>
      <c r="B89" s="317" t="s">
        <v>558</v>
      </c>
      <c r="C89" s="322" t="s">
        <v>283</v>
      </c>
      <c r="D89" s="2311">
        <v>15</v>
      </c>
      <c r="E89" s="2312"/>
      <c r="F89" s="321">
        <v>15</v>
      </c>
      <c r="G89" s="353">
        <v>17</v>
      </c>
    </row>
    <row r="90" spans="1:7" ht="37.5" customHeight="1" thickBot="1">
      <c r="A90" s="311" t="s">
        <v>139</v>
      </c>
      <c r="B90" s="317" t="s">
        <v>559</v>
      </c>
      <c r="C90" s="322" t="s">
        <v>283</v>
      </c>
      <c r="D90" s="2311">
        <v>2300</v>
      </c>
      <c r="E90" s="2312"/>
      <c r="F90" s="321">
        <v>2300</v>
      </c>
      <c r="G90" s="353">
        <v>2200</v>
      </c>
    </row>
    <row r="91" spans="1:7" ht="37.5" customHeight="1" thickBot="1">
      <c r="A91" s="311" t="s">
        <v>755</v>
      </c>
      <c r="B91" s="317" t="s">
        <v>325</v>
      </c>
      <c r="C91" s="322" t="s">
        <v>283</v>
      </c>
      <c r="D91" s="2311">
        <v>300</v>
      </c>
      <c r="E91" s="2312"/>
      <c r="F91" s="321">
        <v>500</v>
      </c>
      <c r="G91" s="353">
        <v>200</v>
      </c>
    </row>
    <row r="92" spans="1:7" ht="36.75" customHeight="1" thickBot="1">
      <c r="A92" s="311" t="s">
        <v>418</v>
      </c>
      <c r="B92" s="317" t="s">
        <v>327</v>
      </c>
      <c r="C92" s="322" t="s">
        <v>283</v>
      </c>
      <c r="D92" s="2311">
        <v>70</v>
      </c>
      <c r="E92" s="2312"/>
      <c r="F92" s="321">
        <v>90</v>
      </c>
      <c r="G92" s="353">
        <v>65</v>
      </c>
    </row>
    <row r="93" spans="1:7" ht="34.5" customHeight="1" thickBot="1">
      <c r="A93" s="311" t="s">
        <v>477</v>
      </c>
      <c r="B93" s="317" t="s">
        <v>517</v>
      </c>
      <c r="C93" s="322" t="s">
        <v>456</v>
      </c>
      <c r="D93" s="2311">
        <v>28</v>
      </c>
      <c r="E93" s="2312"/>
      <c r="F93" s="321">
        <v>30</v>
      </c>
      <c r="G93" s="353">
        <v>27</v>
      </c>
    </row>
    <row r="94" spans="1:7" ht="36" customHeight="1" thickBot="1">
      <c r="A94" s="311" t="s">
        <v>756</v>
      </c>
      <c r="B94" s="317" t="s">
        <v>486</v>
      </c>
      <c r="C94" s="322" t="s">
        <v>283</v>
      </c>
      <c r="D94" s="2311">
        <v>95</v>
      </c>
      <c r="E94" s="2312"/>
      <c r="F94" s="321">
        <v>100</v>
      </c>
      <c r="G94" s="353">
        <v>90</v>
      </c>
    </row>
    <row r="95" spans="1:7" ht="35.25" customHeight="1" thickBot="1">
      <c r="A95" s="311" t="s">
        <v>326</v>
      </c>
      <c r="B95" s="319"/>
      <c r="C95" s="322" t="s">
        <v>283</v>
      </c>
      <c r="D95" s="2311">
        <v>130</v>
      </c>
      <c r="E95" s="2312"/>
      <c r="F95" s="321">
        <v>110</v>
      </c>
      <c r="G95" s="353">
        <v>250</v>
      </c>
    </row>
    <row r="96" spans="1:7" ht="13.3" thickBot="1">
      <c r="A96" s="311" t="s">
        <v>328</v>
      </c>
      <c r="B96" s="317" t="s">
        <v>382</v>
      </c>
      <c r="C96" s="322" t="s">
        <v>283</v>
      </c>
      <c r="D96" s="2311">
        <v>50</v>
      </c>
      <c r="E96" s="2312"/>
      <c r="F96" s="321">
        <v>30</v>
      </c>
      <c r="G96" s="353">
        <v>100</v>
      </c>
    </row>
    <row r="97" spans="1:7" ht="13.3" thickBot="1">
      <c r="A97" s="311" t="s">
        <v>515</v>
      </c>
      <c r="B97" s="319"/>
      <c r="C97" s="322" t="s">
        <v>283</v>
      </c>
      <c r="D97" s="2311">
        <v>50</v>
      </c>
      <c r="E97" s="2312"/>
      <c r="F97" s="321">
        <v>50</v>
      </c>
      <c r="G97" s="353">
        <v>100</v>
      </c>
    </row>
    <row r="98" spans="1:7" ht="13.3" thickBot="1">
      <c r="A98" s="311" t="s">
        <v>516</v>
      </c>
      <c r="B98" s="319"/>
      <c r="C98" s="322" t="s">
        <v>283</v>
      </c>
      <c r="D98" s="2311">
        <v>30</v>
      </c>
      <c r="E98" s="2312"/>
      <c r="F98" s="321">
        <v>30</v>
      </c>
      <c r="G98" s="353">
        <v>50</v>
      </c>
    </row>
    <row r="99" spans="1:7" ht="36" customHeight="1" thickBot="1">
      <c r="A99" s="311" t="s">
        <v>757</v>
      </c>
      <c r="B99" s="317" t="s">
        <v>383</v>
      </c>
      <c r="C99" s="322" t="s">
        <v>456</v>
      </c>
      <c r="D99" s="2311">
        <v>95</v>
      </c>
      <c r="E99" s="2312"/>
      <c r="F99" s="321">
        <v>100</v>
      </c>
      <c r="G99" s="353">
        <v>90</v>
      </c>
    </row>
    <row r="100" spans="1:7" ht="39" customHeight="1" thickBot="1">
      <c r="A100" s="311" t="s">
        <v>758</v>
      </c>
      <c r="B100" s="317" t="s">
        <v>636</v>
      </c>
      <c r="C100" s="322" t="s">
        <v>283</v>
      </c>
      <c r="D100" s="2311">
        <v>1500</v>
      </c>
      <c r="E100" s="2312"/>
      <c r="F100" s="321">
        <v>1500</v>
      </c>
      <c r="G100" s="353">
        <v>1400</v>
      </c>
    </row>
    <row r="101" spans="1:7" ht="36" customHeight="1" thickBot="1">
      <c r="A101" s="311" t="s">
        <v>759</v>
      </c>
      <c r="B101" s="317" t="s">
        <v>637</v>
      </c>
      <c r="C101" s="322" t="s">
        <v>283</v>
      </c>
      <c r="D101" s="2311">
        <v>600</v>
      </c>
      <c r="E101" s="2312"/>
      <c r="F101" s="321">
        <v>650</v>
      </c>
      <c r="G101" s="353">
        <v>500</v>
      </c>
    </row>
    <row r="102" spans="1:7" ht="40.5" customHeight="1" thickBot="1">
      <c r="A102" s="2290" t="s">
        <v>658</v>
      </c>
      <c r="B102" s="2291"/>
      <c r="C102" s="2291"/>
      <c r="D102" s="2291"/>
      <c r="E102" s="2292"/>
      <c r="F102" s="2292"/>
      <c r="G102" s="348"/>
    </row>
    <row r="103" spans="1:7" ht="30.75" customHeight="1" thickBot="1">
      <c r="A103" s="2313" t="s">
        <v>773</v>
      </c>
      <c r="B103" s="2307" t="s">
        <v>557</v>
      </c>
      <c r="C103" s="322" t="s">
        <v>283</v>
      </c>
      <c r="D103" s="2311">
        <v>1200</v>
      </c>
      <c r="E103" s="2312"/>
      <c r="F103" s="321">
        <v>1200</v>
      </c>
      <c r="G103" s="353">
        <v>1200</v>
      </c>
    </row>
    <row r="104" spans="1:7" ht="13.3" thickBot="1">
      <c r="A104" s="2314"/>
      <c r="B104" s="2308"/>
      <c r="C104" s="322" t="s">
        <v>456</v>
      </c>
      <c r="D104" s="2311">
        <v>8</v>
      </c>
      <c r="E104" s="2312"/>
      <c r="F104" s="321">
        <v>10</v>
      </c>
      <c r="G104" s="353">
        <v>7</v>
      </c>
    </row>
    <row r="105" spans="1:7" ht="41.25" customHeight="1" thickBot="1">
      <c r="A105" s="311" t="s">
        <v>639</v>
      </c>
      <c r="B105" s="317" t="s">
        <v>246</v>
      </c>
      <c r="C105" s="322" t="s">
        <v>283</v>
      </c>
      <c r="D105" s="2311">
        <v>8</v>
      </c>
      <c r="E105" s="2312"/>
      <c r="F105" s="321">
        <v>9</v>
      </c>
      <c r="G105" s="353">
        <v>6</v>
      </c>
    </row>
    <row r="106" spans="1:7" ht="38.25" customHeight="1" thickBot="1">
      <c r="A106" s="311" t="s">
        <v>421</v>
      </c>
      <c r="B106" s="317" t="s">
        <v>638</v>
      </c>
      <c r="C106" s="322" t="s">
        <v>283</v>
      </c>
      <c r="D106" s="2311">
        <v>100</v>
      </c>
      <c r="E106" s="2312"/>
      <c r="F106" s="321">
        <v>100</v>
      </c>
      <c r="G106" s="353">
        <v>100</v>
      </c>
    </row>
    <row r="107" spans="1:7" ht="41.25" customHeight="1" thickBot="1">
      <c r="A107" s="311" t="s">
        <v>883</v>
      </c>
      <c r="B107" s="317" t="s">
        <v>640</v>
      </c>
      <c r="C107" s="322" t="s">
        <v>456</v>
      </c>
      <c r="D107" s="2311">
        <v>99</v>
      </c>
      <c r="E107" s="2312"/>
      <c r="F107" s="321">
        <v>99</v>
      </c>
      <c r="G107" s="353">
        <v>99</v>
      </c>
    </row>
    <row r="108" spans="1:7" ht="32.25" customHeight="1" thickBot="1">
      <c r="A108" s="311" t="s">
        <v>774</v>
      </c>
      <c r="B108" s="2307" t="s">
        <v>641</v>
      </c>
      <c r="C108" s="322" t="s">
        <v>456</v>
      </c>
      <c r="D108" s="2311">
        <v>95</v>
      </c>
      <c r="E108" s="2312"/>
      <c r="F108" s="321">
        <v>100</v>
      </c>
      <c r="G108" s="353">
        <v>85</v>
      </c>
    </row>
    <row r="109" spans="1:7" ht="33" customHeight="1" thickBot="1">
      <c r="A109" s="311" t="s">
        <v>775</v>
      </c>
      <c r="B109" s="2315"/>
      <c r="C109" s="322" t="s">
        <v>283</v>
      </c>
      <c r="D109" s="2311">
        <v>20</v>
      </c>
      <c r="E109" s="2312"/>
      <c r="F109" s="321">
        <v>20</v>
      </c>
      <c r="G109" s="353">
        <v>17</v>
      </c>
    </row>
    <row r="110" spans="1:7" ht="33" customHeight="1" thickBot="1">
      <c r="A110" s="311" t="s">
        <v>776</v>
      </c>
      <c r="B110" s="2315"/>
      <c r="C110" s="322" t="s">
        <v>283</v>
      </c>
      <c r="D110" s="2311">
        <v>15</v>
      </c>
      <c r="E110" s="2312"/>
      <c r="F110" s="321">
        <v>14</v>
      </c>
      <c r="G110" s="353">
        <v>14</v>
      </c>
    </row>
    <row r="111" spans="1:7" ht="24" customHeight="1" thickBot="1">
      <c r="A111" s="311" t="s">
        <v>777</v>
      </c>
      <c r="B111" s="2308"/>
      <c r="C111" s="322" t="s">
        <v>283</v>
      </c>
      <c r="D111" s="2311">
        <v>0</v>
      </c>
      <c r="E111" s="2312"/>
      <c r="F111" s="321">
        <v>1</v>
      </c>
      <c r="G111" s="353">
        <v>0</v>
      </c>
    </row>
    <row r="112" spans="1:7" ht="36.75" customHeight="1" thickBot="1">
      <c r="A112" s="311" t="s">
        <v>778</v>
      </c>
      <c r="B112" s="2307" t="s">
        <v>422</v>
      </c>
      <c r="C112" s="322" t="s">
        <v>456</v>
      </c>
      <c r="D112" s="2311">
        <v>93</v>
      </c>
      <c r="E112" s="2312"/>
      <c r="F112" s="321">
        <v>97</v>
      </c>
      <c r="G112" s="353">
        <v>91</v>
      </c>
    </row>
    <row r="113" spans="1:7" ht="29.25" customHeight="1" thickBot="1">
      <c r="A113" s="311" t="s">
        <v>779</v>
      </c>
      <c r="B113" s="2315"/>
      <c r="C113" s="322" t="s">
        <v>283</v>
      </c>
      <c r="D113" s="2311">
        <v>53</v>
      </c>
      <c r="E113" s="2312"/>
      <c r="F113" s="321">
        <v>51</v>
      </c>
      <c r="G113" s="353">
        <v>55</v>
      </c>
    </row>
    <row r="114" spans="1:7" ht="32.25" customHeight="1" thickBot="1">
      <c r="A114" s="311" t="s">
        <v>780</v>
      </c>
      <c r="B114" s="2315"/>
      <c r="C114" s="322" t="s">
        <v>283</v>
      </c>
      <c r="D114" s="2311">
        <v>157</v>
      </c>
      <c r="E114" s="2312"/>
      <c r="F114" s="321">
        <v>159</v>
      </c>
      <c r="G114" s="353">
        <v>155</v>
      </c>
    </row>
    <row r="115" spans="1:7" ht="30.75" customHeight="1" thickBot="1">
      <c r="A115" s="311" t="s">
        <v>781</v>
      </c>
      <c r="B115" s="2315"/>
      <c r="C115" s="322" t="s">
        <v>283</v>
      </c>
      <c r="D115" s="2311">
        <v>187</v>
      </c>
      <c r="E115" s="2312"/>
      <c r="F115" s="321">
        <v>189</v>
      </c>
      <c r="G115" s="353">
        <v>185</v>
      </c>
    </row>
    <row r="116" spans="1:7" ht="30" customHeight="1" thickBot="1">
      <c r="A116" s="311" t="s">
        <v>884</v>
      </c>
      <c r="B116" s="2308"/>
      <c r="C116" s="322" t="s">
        <v>283</v>
      </c>
      <c r="D116" s="2311">
        <v>8</v>
      </c>
      <c r="E116" s="2312"/>
      <c r="F116" s="321">
        <v>8</v>
      </c>
      <c r="G116" s="353">
        <v>7</v>
      </c>
    </row>
    <row r="117" spans="1:7" ht="36" customHeight="1" thickBot="1">
      <c r="A117" s="334" t="s">
        <v>782</v>
      </c>
      <c r="B117" s="332" t="s">
        <v>261</v>
      </c>
      <c r="C117" s="337" t="s">
        <v>283</v>
      </c>
      <c r="D117" s="2311">
        <v>10</v>
      </c>
      <c r="E117" s="2312"/>
      <c r="F117" s="333">
        <v>10</v>
      </c>
      <c r="G117" s="353">
        <v>5</v>
      </c>
    </row>
    <row r="118" spans="1:7" ht="30.75" customHeight="1" thickBot="1">
      <c r="A118" s="311" t="s">
        <v>480</v>
      </c>
      <c r="B118" s="317" t="s">
        <v>262</v>
      </c>
      <c r="C118" s="322" t="s">
        <v>283</v>
      </c>
      <c r="D118" s="2311">
        <v>5</v>
      </c>
      <c r="E118" s="2312"/>
      <c r="F118" s="321">
        <v>5</v>
      </c>
      <c r="G118" s="353">
        <v>5</v>
      </c>
    </row>
    <row r="119" spans="1:7" ht="26.15" thickBot="1">
      <c r="A119" s="311" t="s">
        <v>783</v>
      </c>
      <c r="B119" s="317" t="s">
        <v>642</v>
      </c>
      <c r="C119" s="322" t="s">
        <v>283</v>
      </c>
      <c r="D119" s="2311">
        <v>10</v>
      </c>
      <c r="E119" s="2312"/>
      <c r="F119" s="321">
        <v>12</v>
      </c>
      <c r="G119" s="353">
        <v>7</v>
      </c>
    </row>
    <row r="120" spans="1:7" ht="27" customHeight="1" thickBot="1">
      <c r="A120" s="2286" t="s">
        <v>169</v>
      </c>
      <c r="B120" s="2287"/>
      <c r="C120" s="2287"/>
      <c r="D120" s="2287"/>
      <c r="E120" s="2288"/>
      <c r="F120" s="2288"/>
      <c r="G120" s="346"/>
    </row>
    <row r="121" spans="1:7" ht="13.3" thickBot="1">
      <c r="A121" s="2286" t="s">
        <v>281</v>
      </c>
      <c r="B121" s="2287"/>
      <c r="C121" s="2287"/>
      <c r="D121" s="2287"/>
      <c r="E121" s="2288"/>
      <c r="F121" s="2288"/>
      <c r="G121" s="346"/>
    </row>
    <row r="122" spans="1:7" ht="26.15" thickBot="1">
      <c r="A122" s="306" t="s">
        <v>885</v>
      </c>
      <c r="B122" s="307" t="s">
        <v>98</v>
      </c>
      <c r="C122" s="308" t="s">
        <v>456</v>
      </c>
      <c r="D122" s="2268">
        <v>30</v>
      </c>
      <c r="E122" s="2269"/>
      <c r="F122" s="309">
        <v>30</v>
      </c>
      <c r="G122" s="344">
        <v>30</v>
      </c>
    </row>
    <row r="123" spans="1:7" ht="35.25" customHeight="1" thickBot="1">
      <c r="A123" s="2290" t="s">
        <v>719</v>
      </c>
      <c r="B123" s="2291"/>
      <c r="C123" s="2291"/>
      <c r="D123" s="2291"/>
      <c r="E123" s="2292"/>
      <c r="F123" s="2292"/>
      <c r="G123" s="348"/>
    </row>
    <row r="124" spans="1:7" ht="13.3" thickBot="1">
      <c r="A124" s="312" t="s">
        <v>886</v>
      </c>
      <c r="B124" s="307" t="s">
        <v>99</v>
      </c>
      <c r="C124" s="308" t="s">
        <v>283</v>
      </c>
      <c r="D124" s="2268">
        <v>17</v>
      </c>
      <c r="E124" s="2269"/>
      <c r="F124" s="309">
        <v>20</v>
      </c>
      <c r="G124" s="344">
        <v>15</v>
      </c>
    </row>
    <row r="125" spans="1:7" ht="31.5" customHeight="1" thickBot="1">
      <c r="A125" s="2270" t="s">
        <v>462</v>
      </c>
      <c r="B125" s="2271"/>
      <c r="C125" s="2271"/>
      <c r="D125" s="2271"/>
      <c r="E125" s="2272"/>
      <c r="F125" s="2272"/>
      <c r="G125" s="345"/>
    </row>
    <row r="126" spans="1:7" ht="27" customHeight="1" thickBot="1">
      <c r="A126" s="2286" t="s">
        <v>442</v>
      </c>
      <c r="B126" s="2287"/>
      <c r="C126" s="2287"/>
      <c r="D126" s="2287"/>
      <c r="E126" s="2288"/>
      <c r="F126" s="2288"/>
      <c r="G126" s="346"/>
    </row>
    <row r="127" spans="1:7" ht="13.3" thickBot="1">
      <c r="A127" s="2286" t="s">
        <v>281</v>
      </c>
      <c r="B127" s="2287"/>
      <c r="C127" s="2287"/>
      <c r="D127" s="2287"/>
      <c r="E127" s="2288"/>
      <c r="F127" s="2288"/>
      <c r="G127" s="346"/>
    </row>
    <row r="128" spans="1:7" ht="13.3" thickBot="1">
      <c r="A128" s="306" t="s">
        <v>887</v>
      </c>
      <c r="B128" s="317" t="s">
        <v>484</v>
      </c>
      <c r="C128" s="308" t="s">
        <v>283</v>
      </c>
      <c r="D128" s="2268">
        <v>45</v>
      </c>
      <c r="E128" s="2269"/>
      <c r="F128" s="309">
        <v>45</v>
      </c>
      <c r="G128" s="344">
        <v>45</v>
      </c>
    </row>
    <row r="129" spans="1:7" ht="13.3" thickBot="1">
      <c r="A129" s="306" t="s">
        <v>826</v>
      </c>
      <c r="B129" s="317" t="s">
        <v>309</v>
      </c>
      <c r="C129" s="308" t="s">
        <v>283</v>
      </c>
      <c r="D129" s="2268">
        <v>3000</v>
      </c>
      <c r="E129" s="2269"/>
      <c r="F129" s="309">
        <v>3000</v>
      </c>
      <c r="G129" s="344">
        <v>3000</v>
      </c>
    </row>
    <row r="130" spans="1:7" ht="13.3" thickBot="1">
      <c r="A130" s="2281" t="s">
        <v>113</v>
      </c>
      <c r="B130" s="2282"/>
      <c r="C130" s="2282"/>
      <c r="D130" s="2282"/>
      <c r="E130" s="2283"/>
      <c r="F130" s="2283"/>
      <c r="G130" s="347"/>
    </row>
    <row r="131" spans="1:7" ht="27" customHeight="1" thickBot="1">
      <c r="A131" s="2290" t="s">
        <v>400</v>
      </c>
      <c r="B131" s="2291"/>
      <c r="C131" s="2291"/>
      <c r="D131" s="2291"/>
      <c r="E131" s="2292"/>
      <c r="F131" s="2292"/>
      <c r="G131" s="348"/>
    </row>
    <row r="132" spans="1:7" ht="13.3" thickBot="1">
      <c r="A132" s="310" t="s">
        <v>594</v>
      </c>
      <c r="B132" s="317" t="s">
        <v>595</v>
      </c>
      <c r="C132" s="308" t="s">
        <v>283</v>
      </c>
      <c r="D132" s="2268">
        <v>750</v>
      </c>
      <c r="E132" s="2269"/>
      <c r="F132" s="309">
        <v>750</v>
      </c>
      <c r="G132" s="344">
        <v>750</v>
      </c>
    </row>
    <row r="133" spans="1:7" ht="54" customHeight="1" thickBot="1">
      <c r="A133" s="2290" t="s">
        <v>596</v>
      </c>
      <c r="B133" s="2291"/>
      <c r="C133" s="2291"/>
      <c r="D133" s="2291"/>
      <c r="E133" s="2292"/>
      <c r="F133" s="2292"/>
      <c r="G133" s="348"/>
    </row>
    <row r="134" spans="1:7" ht="13.3" thickBot="1">
      <c r="A134" s="312" t="s">
        <v>887</v>
      </c>
      <c r="B134" s="317" t="s">
        <v>32</v>
      </c>
      <c r="C134" s="308" t="s">
        <v>283</v>
      </c>
      <c r="D134" s="2268">
        <v>45</v>
      </c>
      <c r="E134" s="2269"/>
      <c r="F134" s="309">
        <v>45</v>
      </c>
      <c r="G134" s="344">
        <v>45</v>
      </c>
    </row>
    <row r="135" spans="1:7" ht="26.15" thickBot="1">
      <c r="A135" s="312" t="s">
        <v>499</v>
      </c>
      <c r="B135" s="317" t="s">
        <v>586</v>
      </c>
      <c r="C135" s="308" t="s">
        <v>456</v>
      </c>
      <c r="D135" s="2268">
        <v>80</v>
      </c>
      <c r="E135" s="2269"/>
      <c r="F135" s="309">
        <v>80</v>
      </c>
      <c r="G135" s="344">
        <v>80</v>
      </c>
    </row>
    <row r="136" spans="1:7" ht="13.3" thickBot="1">
      <c r="A136" s="312" t="s">
        <v>537</v>
      </c>
      <c r="B136" s="317" t="s">
        <v>514</v>
      </c>
      <c r="C136" s="308" t="s">
        <v>283</v>
      </c>
      <c r="D136" s="2268">
        <v>150</v>
      </c>
      <c r="E136" s="2269"/>
      <c r="F136" s="309">
        <v>150</v>
      </c>
      <c r="G136" s="344">
        <v>150</v>
      </c>
    </row>
    <row r="137" spans="1:7" ht="13.3" thickBot="1">
      <c r="A137" s="312" t="s">
        <v>888</v>
      </c>
      <c r="B137" s="317" t="s">
        <v>154</v>
      </c>
      <c r="C137" s="308" t="s">
        <v>155</v>
      </c>
      <c r="D137" s="2268">
        <v>1</v>
      </c>
      <c r="E137" s="2269"/>
      <c r="F137" s="309">
        <v>1</v>
      </c>
      <c r="G137" s="344">
        <v>1</v>
      </c>
    </row>
    <row r="138" spans="1:7" ht="13.3" thickBot="1">
      <c r="A138" s="312" t="s">
        <v>889</v>
      </c>
      <c r="B138" s="317" t="s">
        <v>157</v>
      </c>
      <c r="C138" s="308" t="s">
        <v>283</v>
      </c>
      <c r="D138" s="2268">
        <v>2</v>
      </c>
      <c r="E138" s="2269"/>
      <c r="F138" s="309">
        <v>2</v>
      </c>
      <c r="G138" s="344">
        <v>2</v>
      </c>
    </row>
    <row r="139" spans="1:7" ht="13.3" thickBot="1">
      <c r="A139" s="312" t="s">
        <v>890</v>
      </c>
      <c r="B139" s="317" t="s">
        <v>722</v>
      </c>
      <c r="C139" s="308" t="s">
        <v>283</v>
      </c>
      <c r="D139" s="2268">
        <v>50</v>
      </c>
      <c r="E139" s="2269"/>
      <c r="F139" s="309">
        <v>50</v>
      </c>
      <c r="G139" s="344">
        <v>50</v>
      </c>
    </row>
    <row r="140" spans="1:7" ht="26.15" thickBot="1">
      <c r="A140" s="312" t="s">
        <v>891</v>
      </c>
      <c r="B140" s="317" t="s">
        <v>723</v>
      </c>
      <c r="C140" s="308" t="s">
        <v>283</v>
      </c>
      <c r="D140" s="2316">
        <v>7000</v>
      </c>
      <c r="E140" s="2317"/>
      <c r="F140" s="323">
        <v>7000</v>
      </c>
      <c r="G140" s="354">
        <v>7000</v>
      </c>
    </row>
    <row r="141" spans="1:7" ht="47.25" customHeight="1" thickBot="1">
      <c r="A141" s="2270" t="s">
        <v>21</v>
      </c>
      <c r="B141" s="2271"/>
      <c r="C141" s="2271"/>
      <c r="D141" s="2271"/>
      <c r="E141" s="2272"/>
      <c r="F141" s="2272"/>
      <c r="G141" s="345"/>
    </row>
    <row r="142" spans="1:7" ht="27" customHeight="1" thickBot="1">
      <c r="A142" s="2286" t="s">
        <v>380</v>
      </c>
      <c r="B142" s="2287"/>
      <c r="C142" s="2287"/>
      <c r="D142" s="2287"/>
      <c r="E142" s="2288"/>
      <c r="F142" s="2288"/>
      <c r="G142" s="346"/>
    </row>
    <row r="143" spans="1:7" ht="13.3" thickBot="1">
      <c r="A143" s="2286" t="s">
        <v>281</v>
      </c>
      <c r="B143" s="2287"/>
      <c r="C143" s="2287"/>
      <c r="D143" s="2287"/>
      <c r="E143" s="2288"/>
      <c r="F143" s="2288"/>
      <c r="G143" s="346"/>
    </row>
    <row r="144" spans="1:7" ht="13.3" thickBot="1">
      <c r="A144" s="306" t="s">
        <v>892</v>
      </c>
      <c r="B144" s="317" t="s">
        <v>546</v>
      </c>
      <c r="C144" s="308" t="s">
        <v>283</v>
      </c>
      <c r="D144" s="2268">
        <v>350</v>
      </c>
      <c r="E144" s="2269"/>
      <c r="F144" s="309">
        <v>300</v>
      </c>
      <c r="G144" s="344">
        <v>450</v>
      </c>
    </row>
    <row r="145" spans="1:7" ht="13.3" thickBot="1">
      <c r="A145" s="306" t="s">
        <v>242</v>
      </c>
      <c r="B145" s="317" t="s">
        <v>547</v>
      </c>
      <c r="C145" s="308" t="s">
        <v>283</v>
      </c>
      <c r="D145" s="2268">
        <v>17</v>
      </c>
      <c r="E145" s="2269"/>
      <c r="F145" s="309">
        <v>20</v>
      </c>
      <c r="G145" s="344">
        <v>15</v>
      </c>
    </row>
    <row r="146" spans="1:7" ht="26.15" thickBot="1">
      <c r="A146" s="306" t="s">
        <v>794</v>
      </c>
      <c r="B146" s="317" t="s">
        <v>548</v>
      </c>
      <c r="C146" s="308" t="s">
        <v>283</v>
      </c>
      <c r="D146" s="2268">
        <v>3</v>
      </c>
      <c r="E146" s="2269"/>
      <c r="F146" s="309">
        <v>3</v>
      </c>
      <c r="G146" s="344">
        <v>2</v>
      </c>
    </row>
    <row r="147" spans="1:7" ht="13.3" thickBot="1">
      <c r="A147" s="306" t="s">
        <v>795</v>
      </c>
      <c r="B147" s="317" t="s">
        <v>796</v>
      </c>
      <c r="C147" s="308" t="s">
        <v>456</v>
      </c>
      <c r="D147" s="2268">
        <v>45</v>
      </c>
      <c r="E147" s="2269"/>
      <c r="F147" s="309">
        <v>50</v>
      </c>
      <c r="G147" s="344">
        <v>40</v>
      </c>
    </row>
    <row r="148" spans="1:7" ht="13.3" thickBot="1">
      <c r="A148" s="2281" t="s">
        <v>113</v>
      </c>
      <c r="B148" s="2282"/>
      <c r="C148" s="2282"/>
      <c r="D148" s="2282"/>
      <c r="E148" s="2283"/>
      <c r="F148" s="2283"/>
      <c r="G148" s="347"/>
    </row>
    <row r="149" spans="1:7" ht="27" customHeight="1" thickBot="1">
      <c r="A149" s="2290" t="s">
        <v>321</v>
      </c>
      <c r="B149" s="2291"/>
      <c r="C149" s="2291"/>
      <c r="D149" s="2291"/>
      <c r="E149" s="2292"/>
      <c r="F149" s="2292"/>
      <c r="G149" s="348"/>
    </row>
    <row r="150" spans="1:7" ht="13.3" thickBot="1">
      <c r="A150" s="312" t="s">
        <v>893</v>
      </c>
      <c r="B150" s="317" t="s">
        <v>545</v>
      </c>
      <c r="C150" s="308" t="s">
        <v>283</v>
      </c>
      <c r="D150" s="2268">
        <v>2800</v>
      </c>
      <c r="E150" s="2269"/>
      <c r="F150" s="309">
        <v>3000</v>
      </c>
      <c r="G150" s="344">
        <v>2750</v>
      </c>
    </row>
    <row r="151" spans="1:7" ht="13.3" thickBot="1">
      <c r="A151" s="312" t="s">
        <v>894</v>
      </c>
      <c r="B151" s="317" t="s">
        <v>604</v>
      </c>
      <c r="C151" s="308" t="s">
        <v>283</v>
      </c>
      <c r="D151" s="2268">
        <v>550</v>
      </c>
      <c r="E151" s="2269"/>
      <c r="F151" s="309">
        <v>600</v>
      </c>
      <c r="G151" s="344">
        <v>500</v>
      </c>
    </row>
    <row r="152" spans="1:7" ht="13.3" thickBot="1">
      <c r="A152" s="312" t="s">
        <v>245</v>
      </c>
      <c r="B152" s="317" t="s">
        <v>97</v>
      </c>
      <c r="C152" s="308" t="s">
        <v>834</v>
      </c>
      <c r="D152" s="2268">
        <v>150</v>
      </c>
      <c r="E152" s="2269"/>
      <c r="F152" s="309">
        <v>150</v>
      </c>
      <c r="G152" s="344">
        <v>50</v>
      </c>
    </row>
    <row r="153" spans="1:7" ht="13.3" thickBot="1">
      <c r="A153" s="312" t="s">
        <v>232</v>
      </c>
      <c r="B153" s="317" t="s">
        <v>243</v>
      </c>
      <c r="C153" s="308" t="s">
        <v>833</v>
      </c>
      <c r="D153" s="2268">
        <v>51000</v>
      </c>
      <c r="E153" s="2269"/>
      <c r="F153" s="309">
        <v>53000</v>
      </c>
      <c r="G153" s="344">
        <v>50000</v>
      </c>
    </row>
    <row r="154" spans="1:7" ht="54" customHeight="1" thickBot="1">
      <c r="A154" s="2318" t="s">
        <v>895</v>
      </c>
      <c r="B154" s="2319"/>
      <c r="C154" s="2319"/>
      <c r="D154" s="2319"/>
      <c r="E154" s="2288"/>
      <c r="F154" s="2288"/>
      <c r="G154" s="346"/>
    </row>
    <row r="155" spans="1:7" ht="13.3" thickBot="1">
      <c r="A155" s="2286" t="s">
        <v>281</v>
      </c>
      <c r="B155" s="2287"/>
      <c r="C155" s="2287"/>
      <c r="D155" s="2287"/>
      <c r="E155" s="2288"/>
      <c r="F155" s="2288"/>
      <c r="G155" s="346"/>
    </row>
    <row r="156" spans="1:7" ht="13.3" thickBot="1">
      <c r="A156" s="306" t="s">
        <v>233</v>
      </c>
      <c r="B156" s="317" t="s">
        <v>621</v>
      </c>
      <c r="C156" s="308" t="s">
        <v>283</v>
      </c>
      <c r="D156" s="2268">
        <v>7</v>
      </c>
      <c r="E156" s="2269"/>
      <c r="F156" s="309">
        <v>7</v>
      </c>
      <c r="G156" s="344">
        <v>7</v>
      </c>
    </row>
    <row r="157" spans="1:7" ht="13.3" thickBot="1">
      <c r="A157" s="306" t="s">
        <v>234</v>
      </c>
      <c r="B157" s="317" t="s">
        <v>58</v>
      </c>
      <c r="C157" s="308" t="s">
        <v>283</v>
      </c>
      <c r="D157" s="2268">
        <v>1500</v>
      </c>
      <c r="E157" s="2269"/>
      <c r="F157" s="309">
        <v>1500</v>
      </c>
      <c r="G157" s="344">
        <v>800</v>
      </c>
    </row>
    <row r="158" spans="1:7" ht="13.3" thickBot="1">
      <c r="A158" s="2281" t="s">
        <v>113</v>
      </c>
      <c r="B158" s="2282"/>
      <c r="C158" s="2282"/>
      <c r="D158" s="2282"/>
      <c r="E158" s="2283"/>
      <c r="F158" s="2283"/>
      <c r="G158" s="347"/>
    </row>
    <row r="159" spans="1:7" ht="27" customHeight="1" thickBot="1">
      <c r="A159" s="2290" t="s">
        <v>324</v>
      </c>
      <c r="B159" s="2291"/>
      <c r="C159" s="2291"/>
      <c r="D159" s="2291"/>
      <c r="E159" s="2292"/>
      <c r="F159" s="2292"/>
      <c r="G159" s="348"/>
    </row>
    <row r="160" spans="1:7" ht="13.3" thickBot="1">
      <c r="A160" s="311" t="s">
        <v>847</v>
      </c>
      <c r="B160" s="317" t="s">
        <v>204</v>
      </c>
      <c r="C160" s="308" t="s">
        <v>283</v>
      </c>
      <c r="D160" s="2268">
        <v>140</v>
      </c>
      <c r="E160" s="2269"/>
      <c r="F160" s="309">
        <v>120</v>
      </c>
      <c r="G160" s="344">
        <v>150</v>
      </c>
    </row>
    <row r="161" spans="1:7" ht="13.3" thickBot="1">
      <c r="A161" s="310" t="s">
        <v>848</v>
      </c>
      <c r="B161" s="317" t="s">
        <v>655</v>
      </c>
      <c r="C161" s="308" t="s">
        <v>283</v>
      </c>
      <c r="D161" s="2268">
        <v>35</v>
      </c>
      <c r="E161" s="2269"/>
      <c r="F161" s="309">
        <v>40</v>
      </c>
      <c r="G161" s="344">
        <v>30</v>
      </c>
    </row>
    <row r="162" spans="1:7" ht="13.3" thickBot="1">
      <c r="A162" s="312" t="s">
        <v>896</v>
      </c>
      <c r="B162" s="317" t="s">
        <v>128</v>
      </c>
      <c r="C162" s="308" t="s">
        <v>283</v>
      </c>
      <c r="D162" s="2268">
        <v>20</v>
      </c>
      <c r="E162" s="2269"/>
      <c r="F162" s="309">
        <v>20</v>
      </c>
      <c r="G162" s="344">
        <v>25</v>
      </c>
    </row>
    <row r="163" spans="1:7" ht="13.3" thickBot="1">
      <c r="A163" s="312" t="s">
        <v>797</v>
      </c>
      <c r="B163" s="317" t="s">
        <v>179</v>
      </c>
      <c r="C163" s="308" t="s">
        <v>834</v>
      </c>
      <c r="D163" s="2268">
        <v>20</v>
      </c>
      <c r="E163" s="2269"/>
      <c r="F163" s="309">
        <v>20</v>
      </c>
      <c r="G163" s="344">
        <v>18</v>
      </c>
    </row>
    <row r="164" spans="1:7" ht="13.3" thickBot="1">
      <c r="A164" s="310" t="s">
        <v>178</v>
      </c>
      <c r="B164" s="317" t="s">
        <v>180</v>
      </c>
      <c r="C164" s="308" t="s">
        <v>283</v>
      </c>
      <c r="D164" s="2268">
        <v>0</v>
      </c>
      <c r="E164" s="2269"/>
      <c r="F164" s="309">
        <v>2</v>
      </c>
      <c r="G164" s="344">
        <v>9</v>
      </c>
    </row>
    <row r="165" spans="1:7" ht="67.5" customHeight="1" thickBot="1">
      <c r="A165" s="2290" t="s">
        <v>475</v>
      </c>
      <c r="B165" s="2291"/>
      <c r="C165" s="2291"/>
      <c r="D165" s="2291"/>
      <c r="E165" s="2292"/>
      <c r="F165" s="2292"/>
      <c r="G165" s="348"/>
    </row>
    <row r="166" spans="1:7" ht="13.3" thickBot="1">
      <c r="A166" s="312" t="s">
        <v>129</v>
      </c>
      <c r="B166" s="317" t="s">
        <v>130</v>
      </c>
      <c r="C166" s="308" t="s">
        <v>283</v>
      </c>
      <c r="D166" s="2268">
        <v>20</v>
      </c>
      <c r="E166" s="2269"/>
      <c r="F166" s="309">
        <v>23</v>
      </c>
      <c r="G166" s="344">
        <v>18</v>
      </c>
    </row>
    <row r="167" spans="1:7" ht="13.3" thickBot="1">
      <c r="A167" s="312" t="s">
        <v>181</v>
      </c>
      <c r="B167" s="317" t="s">
        <v>131</v>
      </c>
      <c r="C167" s="308" t="s">
        <v>283</v>
      </c>
      <c r="D167" s="2268">
        <v>10</v>
      </c>
      <c r="E167" s="2269"/>
      <c r="F167" s="309">
        <v>10</v>
      </c>
      <c r="G167" s="344">
        <v>10</v>
      </c>
    </row>
    <row r="168" spans="1:7" ht="26.15" thickBot="1">
      <c r="A168" s="312" t="s">
        <v>182</v>
      </c>
      <c r="B168" s="317" t="s">
        <v>132</v>
      </c>
      <c r="C168" s="308" t="s">
        <v>283</v>
      </c>
      <c r="D168" s="2268">
        <v>25</v>
      </c>
      <c r="E168" s="2269"/>
      <c r="F168" s="309">
        <v>25</v>
      </c>
      <c r="G168" s="344">
        <v>25</v>
      </c>
    </row>
    <row r="169" spans="1:7" ht="13.3" thickBot="1">
      <c r="A169" s="312" t="s">
        <v>183</v>
      </c>
      <c r="B169" s="317" t="s">
        <v>133</v>
      </c>
      <c r="C169" s="308" t="s">
        <v>283</v>
      </c>
      <c r="D169" s="2268">
        <v>10</v>
      </c>
      <c r="E169" s="2269"/>
      <c r="F169" s="309">
        <v>10</v>
      </c>
      <c r="G169" s="344">
        <v>10</v>
      </c>
    </row>
    <row r="170" spans="1:7" ht="13.3" thickBot="1">
      <c r="A170" s="312" t="s">
        <v>519</v>
      </c>
      <c r="B170" s="317" t="s">
        <v>134</v>
      </c>
      <c r="C170" s="308" t="s">
        <v>283</v>
      </c>
      <c r="D170" s="2268">
        <v>20</v>
      </c>
      <c r="E170" s="2269"/>
      <c r="F170" s="309">
        <v>30</v>
      </c>
      <c r="G170" s="344">
        <v>15</v>
      </c>
    </row>
    <row r="171" spans="1:7" ht="31.5" customHeight="1" thickBot="1">
      <c r="A171" s="2270" t="s">
        <v>121</v>
      </c>
      <c r="B171" s="2271"/>
      <c r="C171" s="2271"/>
      <c r="D171" s="2271"/>
      <c r="E171" s="2272"/>
      <c r="F171" s="2272"/>
      <c r="G171" s="345"/>
    </row>
    <row r="172" spans="1:7" ht="40.5" customHeight="1" thickBot="1">
      <c r="A172" s="2286" t="s">
        <v>897</v>
      </c>
      <c r="B172" s="2287"/>
      <c r="C172" s="2287"/>
      <c r="D172" s="2287"/>
      <c r="E172" s="2288"/>
      <c r="F172" s="2288"/>
      <c r="G172" s="346"/>
    </row>
    <row r="173" spans="1:7" ht="13.3" thickBot="1">
      <c r="A173" s="2286" t="s">
        <v>281</v>
      </c>
      <c r="B173" s="2287"/>
      <c r="C173" s="2287"/>
      <c r="D173" s="2287"/>
      <c r="E173" s="2288"/>
      <c r="F173" s="2288"/>
      <c r="G173" s="346"/>
    </row>
    <row r="174" spans="1:7" ht="41.25" customHeight="1" thickBot="1">
      <c r="A174" s="330" t="s">
        <v>191</v>
      </c>
      <c r="B174" s="339" t="s">
        <v>656</v>
      </c>
      <c r="C174" s="340" t="s">
        <v>456</v>
      </c>
      <c r="D174" s="338">
        <v>85</v>
      </c>
      <c r="E174" s="331"/>
      <c r="F174" s="338">
        <v>85</v>
      </c>
      <c r="G174" s="355">
        <v>85</v>
      </c>
    </row>
    <row r="175" spans="1:7" ht="13.3" thickBot="1">
      <c r="A175" s="2281" t="s">
        <v>113</v>
      </c>
      <c r="B175" s="2282"/>
      <c r="C175" s="2282"/>
      <c r="D175" s="2282"/>
      <c r="E175" s="2283"/>
      <c r="F175" s="2283"/>
      <c r="G175" s="347"/>
    </row>
    <row r="176" spans="1:7" ht="27" customHeight="1" thickBot="1">
      <c r="A176" s="2290" t="s">
        <v>444</v>
      </c>
      <c r="B176" s="2291"/>
      <c r="C176" s="2291"/>
      <c r="D176" s="2291"/>
      <c r="E176" s="2292"/>
      <c r="F176" s="2292"/>
      <c r="G176" s="348"/>
    </row>
    <row r="177" spans="1:7" ht="13.3" thickBot="1">
      <c r="A177" s="312" t="s">
        <v>86</v>
      </c>
      <c r="B177" s="307" t="s">
        <v>856</v>
      </c>
      <c r="C177" s="308" t="s">
        <v>283</v>
      </c>
      <c r="D177" s="2268">
        <v>7</v>
      </c>
      <c r="E177" s="2269"/>
      <c r="F177" s="309">
        <v>8</v>
      </c>
      <c r="G177" s="344">
        <v>7</v>
      </c>
    </row>
    <row r="178" spans="1:7" ht="26.15" thickBot="1">
      <c r="A178" s="312" t="s">
        <v>192</v>
      </c>
      <c r="B178" s="307" t="s">
        <v>0</v>
      </c>
      <c r="C178" s="308" t="s">
        <v>283</v>
      </c>
      <c r="D178" s="2268">
        <v>14</v>
      </c>
      <c r="E178" s="2269"/>
      <c r="F178" s="309">
        <v>14</v>
      </c>
      <c r="G178" s="344">
        <v>14</v>
      </c>
    </row>
    <row r="179" spans="1:7" ht="13.3" thickBot="1">
      <c r="A179" s="312" t="s">
        <v>521</v>
      </c>
      <c r="B179" s="307" t="s">
        <v>522</v>
      </c>
      <c r="C179" s="308" t="s">
        <v>283</v>
      </c>
      <c r="D179" s="2268">
        <v>2</v>
      </c>
      <c r="E179" s="2269"/>
      <c r="F179" s="309">
        <v>2</v>
      </c>
      <c r="G179" s="344">
        <v>1</v>
      </c>
    </row>
    <row r="180" spans="1:7" ht="40.5" customHeight="1" thickBot="1">
      <c r="A180" s="2286" t="s">
        <v>445</v>
      </c>
      <c r="B180" s="2287"/>
      <c r="C180" s="2287"/>
      <c r="D180" s="2287"/>
      <c r="E180" s="2288"/>
      <c r="F180" s="2288"/>
      <c r="G180" s="346"/>
    </row>
    <row r="181" spans="1:7" ht="13.3" thickBot="1">
      <c r="A181" s="2286" t="s">
        <v>281</v>
      </c>
      <c r="B181" s="2287"/>
      <c r="C181" s="2287"/>
      <c r="D181" s="2287"/>
      <c r="E181" s="2288"/>
      <c r="F181" s="2288"/>
      <c r="G181" s="346"/>
    </row>
    <row r="182" spans="1:7" ht="34.5" customHeight="1" thickBot="1">
      <c r="A182" s="2293" t="s">
        <v>898</v>
      </c>
      <c r="B182" s="317" t="s">
        <v>858</v>
      </c>
      <c r="C182" s="308" t="s">
        <v>283</v>
      </c>
      <c r="D182" s="2268">
        <v>2</v>
      </c>
      <c r="E182" s="2269"/>
      <c r="F182" s="309">
        <v>3</v>
      </c>
      <c r="G182" s="344">
        <v>2</v>
      </c>
    </row>
    <row r="183" spans="1:7" ht="13.3" thickBot="1">
      <c r="A183" s="2295"/>
      <c r="B183" s="317" t="s">
        <v>859</v>
      </c>
      <c r="C183" s="308" t="s">
        <v>283</v>
      </c>
      <c r="D183" s="2268">
        <v>24</v>
      </c>
      <c r="E183" s="2269"/>
      <c r="F183" s="309">
        <v>36</v>
      </c>
      <c r="G183" s="344">
        <v>24</v>
      </c>
    </row>
    <row r="184" spans="1:7" ht="13.3" thickBot="1">
      <c r="A184" s="2281" t="s">
        <v>113</v>
      </c>
      <c r="B184" s="2282"/>
      <c r="C184" s="2282"/>
      <c r="D184" s="2282"/>
      <c r="E184" s="2283"/>
      <c r="F184" s="2283"/>
      <c r="G184" s="347"/>
    </row>
    <row r="185" spans="1:7" ht="40.5" customHeight="1" thickBot="1">
      <c r="A185" s="2290" t="s">
        <v>263</v>
      </c>
      <c r="B185" s="2291"/>
      <c r="C185" s="2291"/>
      <c r="D185" s="2291"/>
      <c r="E185" s="2292"/>
      <c r="F185" s="2292"/>
      <c r="G185" s="348"/>
    </row>
    <row r="186" spans="1:7" ht="26.15" thickBot="1">
      <c r="A186" s="312" t="s">
        <v>899</v>
      </c>
      <c r="B186" s="307" t="s">
        <v>801</v>
      </c>
      <c r="C186" s="308" t="s">
        <v>283</v>
      </c>
      <c r="D186" s="2268">
        <v>6</v>
      </c>
      <c r="E186" s="2269"/>
      <c r="F186" s="309">
        <v>8</v>
      </c>
      <c r="G186" s="344">
        <v>6</v>
      </c>
    </row>
    <row r="187" spans="1:7" ht="26.15" thickBot="1">
      <c r="A187" s="312" t="s">
        <v>51</v>
      </c>
      <c r="B187" s="307" t="s">
        <v>52</v>
      </c>
      <c r="C187" s="308" t="s">
        <v>283</v>
      </c>
      <c r="D187" s="2268">
        <v>2</v>
      </c>
      <c r="E187" s="2269"/>
      <c r="F187" s="309">
        <v>3</v>
      </c>
      <c r="G187" s="344">
        <v>2</v>
      </c>
    </row>
    <row r="188" spans="1:7" ht="13.3" thickBot="1">
      <c r="A188" s="2286" t="s">
        <v>495</v>
      </c>
      <c r="B188" s="2287"/>
      <c r="C188" s="2287"/>
      <c r="D188" s="2287"/>
      <c r="E188" s="2288"/>
      <c r="F188" s="2288"/>
      <c r="G188" s="346"/>
    </row>
    <row r="189" spans="1:7" ht="13.3" thickBot="1">
      <c r="A189" s="2286" t="s">
        <v>281</v>
      </c>
      <c r="B189" s="2287"/>
      <c r="C189" s="2287"/>
      <c r="D189" s="2287"/>
      <c r="E189" s="2288"/>
      <c r="F189" s="2288"/>
      <c r="G189" s="346"/>
    </row>
    <row r="190" spans="1:7" ht="13.3" thickBot="1">
      <c r="A190" s="306" t="s">
        <v>264</v>
      </c>
      <c r="B190" s="307" t="s">
        <v>446</v>
      </c>
      <c r="C190" s="308" t="s">
        <v>456</v>
      </c>
      <c r="D190" s="2305">
        <v>2</v>
      </c>
      <c r="E190" s="2306"/>
      <c r="F190" s="315">
        <v>2</v>
      </c>
      <c r="G190" s="350">
        <v>2</v>
      </c>
    </row>
    <row r="191" spans="1:7" ht="26.15" thickBot="1">
      <c r="A191" s="306" t="s">
        <v>900</v>
      </c>
      <c r="B191" s="307" t="s">
        <v>265</v>
      </c>
      <c r="C191" s="308" t="s">
        <v>283</v>
      </c>
      <c r="D191" s="2268">
        <v>50</v>
      </c>
      <c r="E191" s="2269"/>
      <c r="F191" s="309">
        <v>50</v>
      </c>
      <c r="G191" s="344">
        <v>50</v>
      </c>
    </row>
    <row r="192" spans="1:7" ht="13.3" thickBot="1">
      <c r="A192" s="306" t="s">
        <v>831</v>
      </c>
      <c r="B192" s="307" t="s">
        <v>674</v>
      </c>
      <c r="C192" s="308" t="s">
        <v>456</v>
      </c>
      <c r="D192" s="2268">
        <v>100</v>
      </c>
      <c r="E192" s="2269"/>
      <c r="F192" s="309">
        <v>100</v>
      </c>
      <c r="G192" s="344">
        <v>100</v>
      </c>
    </row>
    <row r="193" spans="1:7" ht="13.3" thickBot="1">
      <c r="A193" s="306" t="s">
        <v>901</v>
      </c>
      <c r="B193" s="307" t="s">
        <v>696</v>
      </c>
      <c r="C193" s="308" t="s">
        <v>283</v>
      </c>
      <c r="D193" s="2268">
        <v>5</v>
      </c>
      <c r="E193" s="2269"/>
      <c r="F193" s="309">
        <v>5</v>
      </c>
      <c r="G193" s="344">
        <v>5</v>
      </c>
    </row>
    <row r="194" spans="1:7" ht="13.3" thickBot="1">
      <c r="A194" s="2281" t="s">
        <v>113</v>
      </c>
      <c r="B194" s="2282"/>
      <c r="C194" s="2282"/>
      <c r="D194" s="2282"/>
      <c r="E194" s="2283"/>
      <c r="F194" s="2283"/>
      <c r="G194" s="347"/>
    </row>
    <row r="195" spans="1:7" ht="27" customHeight="1" thickBot="1">
      <c r="A195" s="2290" t="s">
        <v>437</v>
      </c>
      <c r="B195" s="2291"/>
      <c r="C195" s="2291"/>
      <c r="D195" s="2291"/>
      <c r="E195" s="2292"/>
      <c r="F195" s="2292"/>
      <c r="G195" s="348"/>
    </row>
    <row r="196" spans="1:7" ht="13.3" thickBot="1">
      <c r="A196" s="312" t="s">
        <v>307</v>
      </c>
      <c r="B196" s="307" t="s">
        <v>493</v>
      </c>
      <c r="C196" s="308" t="s">
        <v>283</v>
      </c>
      <c r="D196" s="2268">
        <v>4</v>
      </c>
      <c r="E196" s="2269"/>
      <c r="F196" s="309">
        <v>4</v>
      </c>
      <c r="G196" s="344">
        <v>3</v>
      </c>
    </row>
    <row r="197" spans="1:7" ht="13.3" thickBot="1">
      <c r="A197" s="312" t="s">
        <v>39</v>
      </c>
      <c r="B197" s="307" t="s">
        <v>105</v>
      </c>
      <c r="C197" s="308" t="s">
        <v>249</v>
      </c>
      <c r="D197" s="2268" t="s">
        <v>845</v>
      </c>
      <c r="E197" s="2269"/>
      <c r="F197" s="309" t="s">
        <v>845</v>
      </c>
      <c r="G197" s="344" t="s">
        <v>845</v>
      </c>
    </row>
    <row r="198" spans="1:7" ht="13.3" thickBot="1">
      <c r="A198" s="312" t="s">
        <v>902</v>
      </c>
      <c r="B198" s="307" t="s">
        <v>903</v>
      </c>
      <c r="C198" s="308" t="s">
        <v>283</v>
      </c>
      <c r="D198" s="2268">
        <v>3</v>
      </c>
      <c r="E198" s="2269"/>
      <c r="F198" s="309">
        <v>4</v>
      </c>
      <c r="G198" s="344">
        <v>2</v>
      </c>
    </row>
    <row r="199" spans="1:7" ht="27" customHeight="1" thickBot="1">
      <c r="A199" s="2290" t="s">
        <v>904</v>
      </c>
      <c r="B199" s="2291"/>
      <c r="C199" s="2291"/>
      <c r="D199" s="2291"/>
      <c r="E199" s="2292"/>
      <c r="F199" s="2292"/>
      <c r="G199" s="348"/>
    </row>
    <row r="200" spans="1:7" ht="13.3" thickBot="1">
      <c r="A200" s="312" t="s">
        <v>688</v>
      </c>
      <c r="B200" s="307" t="s">
        <v>494</v>
      </c>
      <c r="C200" s="308" t="s">
        <v>283</v>
      </c>
      <c r="D200" s="2268">
        <v>10</v>
      </c>
      <c r="E200" s="2269"/>
      <c r="F200" s="309">
        <v>10</v>
      </c>
      <c r="G200" s="344">
        <v>5</v>
      </c>
    </row>
    <row r="201" spans="1:7" ht="39" thickBot="1">
      <c r="A201" s="312" t="s">
        <v>905</v>
      </c>
      <c r="B201" s="307" t="s">
        <v>692</v>
      </c>
      <c r="C201" s="308" t="s">
        <v>283</v>
      </c>
      <c r="D201" s="2268">
        <v>5</v>
      </c>
      <c r="E201" s="2269"/>
      <c r="F201" s="309">
        <v>5</v>
      </c>
      <c r="G201" s="344">
        <v>5</v>
      </c>
    </row>
    <row r="202" spans="1:7" ht="31.5" customHeight="1" thickBot="1">
      <c r="A202" s="2270" t="s">
        <v>53</v>
      </c>
      <c r="B202" s="2271"/>
      <c r="C202" s="2271"/>
      <c r="D202" s="2271"/>
      <c r="E202" s="2272"/>
      <c r="F202" s="2272"/>
      <c r="G202" s="345"/>
    </row>
    <row r="203" spans="1:7" ht="40.5" customHeight="1" thickBot="1">
      <c r="A203" s="2286" t="s">
        <v>54</v>
      </c>
      <c r="B203" s="2287"/>
      <c r="C203" s="2287"/>
      <c r="D203" s="2287"/>
      <c r="E203" s="2288"/>
      <c r="F203" s="2288"/>
      <c r="G203" s="346"/>
    </row>
    <row r="204" spans="1:7" ht="13.3" thickBot="1">
      <c r="A204" s="2286" t="s">
        <v>281</v>
      </c>
      <c r="B204" s="2287"/>
      <c r="C204" s="2287"/>
      <c r="D204" s="2287"/>
      <c r="E204" s="2288"/>
      <c r="F204" s="2288"/>
      <c r="G204" s="346"/>
    </row>
    <row r="205" spans="1:7" ht="13.3" thickBot="1">
      <c r="A205" s="306" t="s">
        <v>55</v>
      </c>
      <c r="B205" s="317" t="s">
        <v>56</v>
      </c>
      <c r="C205" s="308" t="s">
        <v>456</v>
      </c>
      <c r="D205" s="2268">
        <v>90</v>
      </c>
      <c r="E205" s="2269"/>
      <c r="F205" s="309">
        <v>90</v>
      </c>
      <c r="G205" s="344">
        <v>90</v>
      </c>
    </row>
    <row r="206" spans="1:7" ht="13.3" thickBot="1">
      <c r="A206" s="306" t="s">
        <v>344</v>
      </c>
      <c r="B206" s="317" t="s">
        <v>306</v>
      </c>
      <c r="C206" s="308" t="s">
        <v>283</v>
      </c>
      <c r="D206" s="2268">
        <v>100</v>
      </c>
      <c r="E206" s="2269"/>
      <c r="F206" s="309">
        <v>100</v>
      </c>
      <c r="G206" s="344">
        <v>105</v>
      </c>
    </row>
    <row r="207" spans="1:7" ht="13.3" thickBot="1">
      <c r="A207" s="306" t="s">
        <v>906</v>
      </c>
      <c r="B207" s="317" t="s">
        <v>199</v>
      </c>
      <c r="C207" s="308" t="s">
        <v>283</v>
      </c>
      <c r="D207" s="2268">
        <v>210</v>
      </c>
      <c r="E207" s="2269"/>
      <c r="F207" s="309">
        <v>210</v>
      </c>
      <c r="G207" s="344">
        <v>215</v>
      </c>
    </row>
    <row r="208" spans="1:7" ht="13.3" thickBot="1">
      <c r="A208" s="306" t="s">
        <v>452</v>
      </c>
      <c r="B208" s="317" t="s">
        <v>405</v>
      </c>
      <c r="C208" s="308" t="s">
        <v>283</v>
      </c>
      <c r="D208" s="2268">
        <v>1200</v>
      </c>
      <c r="E208" s="2269"/>
      <c r="F208" s="309">
        <v>1200</v>
      </c>
      <c r="G208" s="344">
        <v>1190</v>
      </c>
    </row>
    <row r="209" spans="1:7" ht="13.3" thickBot="1">
      <c r="A209" s="306" t="s">
        <v>678</v>
      </c>
      <c r="B209" s="317" t="s">
        <v>745</v>
      </c>
      <c r="C209" s="308" t="s">
        <v>283</v>
      </c>
      <c r="D209" s="2268">
        <v>110</v>
      </c>
      <c r="E209" s="2269"/>
      <c r="F209" s="309">
        <v>95</v>
      </c>
      <c r="G209" s="344">
        <v>110</v>
      </c>
    </row>
    <row r="210" spans="1:7" ht="13.3" thickBot="1">
      <c r="A210" s="306" t="s">
        <v>806</v>
      </c>
      <c r="B210" s="317" t="s">
        <v>746</v>
      </c>
      <c r="C210" s="308" t="s">
        <v>283</v>
      </c>
      <c r="D210" s="2268">
        <v>10200</v>
      </c>
      <c r="E210" s="2269"/>
      <c r="F210" s="309">
        <v>10200</v>
      </c>
      <c r="G210" s="344">
        <v>10100</v>
      </c>
    </row>
    <row r="211" spans="1:7" ht="13.3" thickBot="1">
      <c r="A211" s="2281" t="s">
        <v>113</v>
      </c>
      <c r="B211" s="2282"/>
      <c r="C211" s="2282"/>
      <c r="D211" s="2282"/>
      <c r="E211" s="2283"/>
      <c r="F211" s="2283"/>
      <c r="G211" s="347"/>
    </row>
    <row r="212" spans="1:7" ht="27" customHeight="1" thickBot="1">
      <c r="A212" s="2290" t="s">
        <v>556</v>
      </c>
      <c r="B212" s="2291"/>
      <c r="C212" s="2291"/>
      <c r="D212" s="2291"/>
      <c r="E212" s="2292"/>
      <c r="F212" s="2292"/>
      <c r="G212" s="348"/>
    </row>
    <row r="213" spans="1:7" ht="13.3" thickBot="1">
      <c r="A213" s="312" t="s">
        <v>271</v>
      </c>
      <c r="B213" s="317" t="s">
        <v>842</v>
      </c>
      <c r="C213" s="308" t="s">
        <v>283</v>
      </c>
      <c r="D213" s="2268">
        <v>2</v>
      </c>
      <c r="E213" s="2269"/>
      <c r="F213" s="309">
        <v>2</v>
      </c>
      <c r="G213" s="344">
        <v>2</v>
      </c>
    </row>
    <row r="214" spans="1:7" ht="27" customHeight="1" thickBot="1">
      <c r="A214" s="2290" t="s">
        <v>679</v>
      </c>
      <c r="B214" s="2291"/>
      <c r="C214" s="2291"/>
      <c r="D214" s="2291"/>
      <c r="E214" s="2292"/>
      <c r="F214" s="2292"/>
      <c r="G214" s="348"/>
    </row>
    <row r="215" spans="1:7" ht="13.3" thickBot="1">
      <c r="A215" s="312" t="s">
        <v>907</v>
      </c>
      <c r="B215" s="317" t="s">
        <v>680</v>
      </c>
      <c r="C215" s="308" t="s">
        <v>283</v>
      </c>
      <c r="D215" s="2268">
        <v>3200</v>
      </c>
      <c r="E215" s="2269"/>
      <c r="F215" s="309">
        <v>3200</v>
      </c>
      <c r="G215" s="344">
        <v>3100</v>
      </c>
    </row>
    <row r="216" spans="1:7" ht="13.3" thickBot="1">
      <c r="A216" s="312" t="s">
        <v>681</v>
      </c>
      <c r="B216" s="317" t="s">
        <v>682</v>
      </c>
      <c r="C216" s="308" t="s">
        <v>283</v>
      </c>
      <c r="D216" s="2268">
        <v>45</v>
      </c>
      <c r="E216" s="2269"/>
      <c r="F216" s="309">
        <v>50</v>
      </c>
      <c r="G216" s="344">
        <v>40</v>
      </c>
    </row>
    <row r="217" spans="1:7" ht="42" customHeight="1">
      <c r="A217" s="2320" t="s">
        <v>355</v>
      </c>
      <c r="B217" s="318"/>
      <c r="C217" s="2296" t="s">
        <v>283</v>
      </c>
      <c r="D217" s="2299">
        <v>2600</v>
      </c>
      <c r="E217" s="2300"/>
      <c r="F217" s="2299">
        <v>3000</v>
      </c>
      <c r="G217" s="2340">
        <v>2500</v>
      </c>
    </row>
    <row r="218" spans="1:7" ht="13.3" thickBot="1">
      <c r="A218" s="2321"/>
      <c r="B218" s="317" t="s">
        <v>356</v>
      </c>
      <c r="C218" s="2298"/>
      <c r="D218" s="2301"/>
      <c r="E218" s="2302"/>
      <c r="F218" s="2301"/>
      <c r="G218" s="2340"/>
    </row>
    <row r="219" spans="1:7" ht="13.3" thickBot="1">
      <c r="A219" s="312" t="s">
        <v>313</v>
      </c>
      <c r="B219" s="317" t="s">
        <v>314</v>
      </c>
      <c r="C219" s="308" t="s">
        <v>283</v>
      </c>
      <c r="D219" s="2268">
        <v>1400</v>
      </c>
      <c r="E219" s="2269"/>
      <c r="F219" s="309">
        <v>1400</v>
      </c>
      <c r="G219" s="344">
        <v>1300</v>
      </c>
    </row>
    <row r="220" spans="1:7" ht="13.3" thickBot="1">
      <c r="A220" s="312" t="s">
        <v>908</v>
      </c>
      <c r="B220" s="317" t="s">
        <v>274</v>
      </c>
      <c r="C220" s="308" t="s">
        <v>283</v>
      </c>
      <c r="D220" s="2268">
        <v>1600</v>
      </c>
      <c r="E220" s="2269"/>
      <c r="F220" s="309">
        <v>1600</v>
      </c>
      <c r="G220" s="344">
        <v>1700</v>
      </c>
    </row>
    <row r="221" spans="1:7" ht="13.3" thickBot="1">
      <c r="A221" s="312" t="s">
        <v>591</v>
      </c>
      <c r="B221" s="317" t="s">
        <v>276</v>
      </c>
      <c r="C221" s="308" t="s">
        <v>283</v>
      </c>
      <c r="D221" s="2268">
        <v>110</v>
      </c>
      <c r="E221" s="2269"/>
      <c r="F221" s="309">
        <v>110</v>
      </c>
      <c r="G221" s="344">
        <v>100</v>
      </c>
    </row>
    <row r="222" spans="1:7" ht="13.3" thickBot="1">
      <c r="A222" s="312" t="s">
        <v>593</v>
      </c>
      <c r="B222" s="317" t="s">
        <v>592</v>
      </c>
      <c r="C222" s="308" t="s">
        <v>283</v>
      </c>
      <c r="D222" s="2268">
        <v>480</v>
      </c>
      <c r="E222" s="2269"/>
      <c r="F222" s="309">
        <v>480</v>
      </c>
      <c r="G222" s="344">
        <v>470</v>
      </c>
    </row>
    <row r="223" spans="1:7" ht="40.5" customHeight="1" thickBot="1">
      <c r="A223" s="2290" t="s">
        <v>235</v>
      </c>
      <c r="B223" s="2291"/>
      <c r="C223" s="2291"/>
      <c r="D223" s="2291"/>
      <c r="E223" s="2292"/>
      <c r="F223" s="2292"/>
      <c r="G223" s="348"/>
    </row>
    <row r="224" spans="1:7" ht="13.3" thickBot="1">
      <c r="A224" s="310" t="s">
        <v>909</v>
      </c>
      <c r="B224" s="317" t="s">
        <v>820</v>
      </c>
      <c r="C224" s="308" t="s">
        <v>456</v>
      </c>
      <c r="D224" s="2268">
        <v>80</v>
      </c>
      <c r="E224" s="2269"/>
      <c r="F224" s="309">
        <v>80</v>
      </c>
      <c r="G224" s="344">
        <v>70</v>
      </c>
    </row>
    <row r="225" spans="1:7" ht="13.3" thickBot="1">
      <c r="A225" s="310" t="s">
        <v>819</v>
      </c>
      <c r="B225" s="317" t="s">
        <v>217</v>
      </c>
      <c r="C225" s="308" t="s">
        <v>283</v>
      </c>
      <c r="D225" s="2268">
        <v>17</v>
      </c>
      <c r="E225" s="2269"/>
      <c r="F225" s="309">
        <v>17</v>
      </c>
      <c r="G225" s="344">
        <v>16</v>
      </c>
    </row>
    <row r="226" spans="1:7" ht="13.3" thickBot="1">
      <c r="A226" s="310" t="s">
        <v>821</v>
      </c>
      <c r="B226" s="317" t="s">
        <v>805</v>
      </c>
      <c r="C226" s="308" t="s">
        <v>283</v>
      </c>
      <c r="D226" s="2268">
        <v>2</v>
      </c>
      <c r="E226" s="2269"/>
      <c r="F226" s="309">
        <v>2</v>
      </c>
      <c r="G226" s="344">
        <v>2</v>
      </c>
    </row>
    <row r="227" spans="1:7" ht="13.3" thickBot="1">
      <c r="A227" s="310" t="s">
        <v>910</v>
      </c>
      <c r="B227" s="317" t="s">
        <v>207</v>
      </c>
      <c r="C227" s="308" t="s">
        <v>283</v>
      </c>
      <c r="D227" s="2268">
        <v>6</v>
      </c>
      <c r="E227" s="2269"/>
      <c r="F227" s="309">
        <v>6</v>
      </c>
      <c r="G227" s="344">
        <v>4</v>
      </c>
    </row>
    <row r="228" spans="1:7" ht="13.3" thickBot="1">
      <c r="A228" s="310" t="s">
        <v>911</v>
      </c>
      <c r="B228" s="317" t="s">
        <v>333</v>
      </c>
      <c r="C228" s="308" t="s">
        <v>283</v>
      </c>
      <c r="D228" s="2268">
        <v>6</v>
      </c>
      <c r="E228" s="2269"/>
      <c r="F228" s="309">
        <v>8</v>
      </c>
      <c r="G228" s="344">
        <v>5</v>
      </c>
    </row>
    <row r="229" spans="1:7" ht="13.3" thickBot="1">
      <c r="A229" s="310" t="s">
        <v>221</v>
      </c>
      <c r="B229" s="317" t="s">
        <v>222</v>
      </c>
      <c r="C229" s="308" t="s">
        <v>283</v>
      </c>
      <c r="D229" s="2268">
        <v>2</v>
      </c>
      <c r="E229" s="2269"/>
      <c r="F229" s="309">
        <v>3</v>
      </c>
      <c r="G229" s="344">
        <v>2</v>
      </c>
    </row>
    <row r="230" spans="1:7" ht="26.15" thickBot="1">
      <c r="A230" s="312" t="s">
        <v>912</v>
      </c>
      <c r="B230" s="317" t="s">
        <v>523</v>
      </c>
      <c r="C230" s="308" t="s">
        <v>283</v>
      </c>
      <c r="D230" s="2268">
        <v>25</v>
      </c>
      <c r="E230" s="2269"/>
      <c r="F230" s="309">
        <v>10</v>
      </c>
      <c r="G230" s="344">
        <v>5</v>
      </c>
    </row>
    <row r="231" spans="1:7" ht="27" customHeight="1" thickBot="1">
      <c r="A231" s="2286" t="s">
        <v>609</v>
      </c>
      <c r="B231" s="2287"/>
      <c r="C231" s="2287"/>
      <c r="D231" s="2287"/>
      <c r="E231" s="2288"/>
      <c r="F231" s="2288"/>
      <c r="G231" s="346"/>
    </row>
    <row r="232" spans="1:7" ht="13.3" thickBot="1">
      <c r="A232" s="2286" t="s">
        <v>281</v>
      </c>
      <c r="B232" s="2287"/>
      <c r="C232" s="2287"/>
      <c r="D232" s="2287"/>
      <c r="E232" s="2288"/>
      <c r="F232" s="2288"/>
      <c r="G232" s="346"/>
    </row>
    <row r="233" spans="1:7" ht="13.3" thickBot="1">
      <c r="A233" s="306" t="s">
        <v>393</v>
      </c>
      <c r="B233" s="317" t="s">
        <v>610</v>
      </c>
      <c r="C233" s="308" t="s">
        <v>283</v>
      </c>
      <c r="D233" s="2268">
        <v>4</v>
      </c>
      <c r="E233" s="2269"/>
      <c r="F233" s="309">
        <v>4</v>
      </c>
      <c r="G233" s="344">
        <v>4</v>
      </c>
    </row>
    <row r="234" spans="1:7" ht="13.3" thickBot="1">
      <c r="A234" s="306" t="s">
        <v>913</v>
      </c>
      <c r="B234" s="317" t="s">
        <v>394</v>
      </c>
      <c r="C234" s="308" t="s">
        <v>283</v>
      </c>
      <c r="D234" s="2268">
        <v>1</v>
      </c>
      <c r="E234" s="2269"/>
      <c r="F234" s="309">
        <v>0</v>
      </c>
      <c r="G234" s="344">
        <v>0</v>
      </c>
    </row>
    <row r="235" spans="1:7" ht="13.3" thickBot="1">
      <c r="A235" s="2281" t="s">
        <v>113</v>
      </c>
      <c r="B235" s="2282"/>
      <c r="C235" s="2282"/>
      <c r="D235" s="2282"/>
      <c r="E235" s="2283"/>
      <c r="F235" s="2283"/>
      <c r="G235" s="347"/>
    </row>
    <row r="236" spans="1:7" ht="27" customHeight="1" thickBot="1">
      <c r="A236" s="2290" t="s">
        <v>590</v>
      </c>
      <c r="B236" s="2291"/>
      <c r="C236" s="2291"/>
      <c r="D236" s="2291"/>
      <c r="E236" s="2292"/>
      <c r="F236" s="2292"/>
      <c r="G236" s="348"/>
    </row>
    <row r="237" spans="1:7" ht="13.3" thickBot="1">
      <c r="A237" s="310" t="s">
        <v>549</v>
      </c>
      <c r="B237" s="317" t="s">
        <v>550</v>
      </c>
      <c r="C237" s="308" t="s">
        <v>283</v>
      </c>
      <c r="D237" s="2268">
        <v>4</v>
      </c>
      <c r="E237" s="2269"/>
      <c r="F237" s="309">
        <v>4</v>
      </c>
      <c r="G237" s="344">
        <v>3</v>
      </c>
    </row>
    <row r="238" spans="1:7" ht="13.3" thickBot="1">
      <c r="A238" s="310" t="s">
        <v>286</v>
      </c>
      <c r="B238" s="317" t="s">
        <v>31</v>
      </c>
      <c r="C238" s="308" t="s">
        <v>283</v>
      </c>
      <c r="D238" s="2268">
        <v>45</v>
      </c>
      <c r="E238" s="2269"/>
      <c r="F238" s="309">
        <v>50</v>
      </c>
      <c r="G238" s="344">
        <v>40</v>
      </c>
    </row>
    <row r="239" spans="1:7" ht="13.3" thickBot="1">
      <c r="A239" s="310" t="s">
        <v>914</v>
      </c>
      <c r="B239" s="317" t="s">
        <v>287</v>
      </c>
      <c r="C239" s="308" t="s">
        <v>283</v>
      </c>
      <c r="D239" s="2268">
        <v>4</v>
      </c>
      <c r="E239" s="2269"/>
      <c r="F239" s="309">
        <v>0</v>
      </c>
      <c r="G239" s="344">
        <v>5</v>
      </c>
    </row>
    <row r="240" spans="1:7" ht="13.3" thickBot="1">
      <c r="A240" s="310" t="s">
        <v>470</v>
      </c>
      <c r="B240" s="317" t="s">
        <v>737</v>
      </c>
      <c r="C240" s="308" t="s">
        <v>283</v>
      </c>
      <c r="D240" s="2268">
        <v>30</v>
      </c>
      <c r="E240" s="2269"/>
      <c r="F240" s="309">
        <v>30</v>
      </c>
      <c r="G240" s="344">
        <v>30</v>
      </c>
    </row>
    <row r="241" spans="1:7" ht="13.3" thickBot="1">
      <c r="A241" s="310" t="s">
        <v>413</v>
      </c>
      <c r="B241" s="317" t="s">
        <v>414</v>
      </c>
      <c r="C241" s="308" t="s">
        <v>283</v>
      </c>
      <c r="D241" s="2268">
        <v>90</v>
      </c>
      <c r="E241" s="2269"/>
      <c r="F241" s="309">
        <v>100</v>
      </c>
      <c r="G241" s="344">
        <v>80</v>
      </c>
    </row>
    <row r="242" spans="1:7" ht="13.3" thickBot="1">
      <c r="A242" s="310" t="s">
        <v>221</v>
      </c>
      <c r="B242" s="317" t="s">
        <v>224</v>
      </c>
      <c r="C242" s="308" t="s">
        <v>283</v>
      </c>
      <c r="D242" s="2268">
        <v>1</v>
      </c>
      <c r="E242" s="2269"/>
      <c r="F242" s="309">
        <v>1</v>
      </c>
      <c r="G242" s="344">
        <v>1</v>
      </c>
    </row>
    <row r="243" spans="1:7" ht="31.5" customHeight="1" thickBot="1">
      <c r="A243" s="2270" t="s">
        <v>149</v>
      </c>
      <c r="B243" s="2271"/>
      <c r="C243" s="2271"/>
      <c r="D243" s="2271"/>
      <c r="E243" s="2272"/>
      <c r="F243" s="2272"/>
      <c r="G243" s="345"/>
    </row>
    <row r="244" spans="1:7" ht="40.5" customHeight="1" thickBot="1">
      <c r="A244" s="2286" t="s">
        <v>730</v>
      </c>
      <c r="B244" s="2287"/>
      <c r="C244" s="2287"/>
      <c r="D244" s="2287"/>
      <c r="E244" s="2288"/>
      <c r="F244" s="2288"/>
      <c r="G244" s="346"/>
    </row>
    <row r="245" spans="1:7" ht="13.3" thickBot="1">
      <c r="A245" s="2286" t="s">
        <v>281</v>
      </c>
      <c r="B245" s="2287"/>
      <c r="C245" s="2287"/>
      <c r="D245" s="2287"/>
      <c r="E245" s="2288"/>
      <c r="F245" s="2288"/>
      <c r="G245" s="346"/>
    </row>
    <row r="246" spans="1:7" ht="13.3" thickBot="1">
      <c r="A246" s="306" t="s">
        <v>512</v>
      </c>
      <c r="B246" s="317" t="s">
        <v>305</v>
      </c>
      <c r="C246" s="308" t="s">
        <v>490</v>
      </c>
      <c r="D246" s="2268">
        <v>7.5</v>
      </c>
      <c r="E246" s="2269"/>
      <c r="F246" s="309">
        <v>7.5</v>
      </c>
      <c r="G246" s="344">
        <v>8</v>
      </c>
    </row>
    <row r="247" spans="1:7" ht="26.15" thickBot="1">
      <c r="A247" s="306" t="s">
        <v>303</v>
      </c>
      <c r="B247" s="317" t="s">
        <v>288</v>
      </c>
      <c r="C247" s="308" t="s">
        <v>283</v>
      </c>
      <c r="D247" s="2268">
        <v>1</v>
      </c>
      <c r="E247" s="2269"/>
      <c r="F247" s="309">
        <v>1</v>
      </c>
      <c r="G247" s="344">
        <v>1</v>
      </c>
    </row>
    <row r="248" spans="1:7" ht="13.3" thickBot="1">
      <c r="A248" s="306" t="s">
        <v>915</v>
      </c>
      <c r="B248" s="317" t="s">
        <v>289</v>
      </c>
      <c r="C248" s="308" t="s">
        <v>283</v>
      </c>
      <c r="D248" s="2268">
        <v>1</v>
      </c>
      <c r="E248" s="2269"/>
      <c r="F248" s="309">
        <v>0</v>
      </c>
      <c r="G248" s="344">
        <v>0</v>
      </c>
    </row>
    <row r="249" spans="1:7" ht="13.3" thickBot="1">
      <c r="A249" s="2281" t="s">
        <v>113</v>
      </c>
      <c r="B249" s="2282"/>
      <c r="C249" s="2282"/>
      <c r="D249" s="2282"/>
      <c r="E249" s="2283"/>
      <c r="F249" s="2283"/>
      <c r="G249" s="347"/>
    </row>
    <row r="250" spans="1:7" ht="27" customHeight="1" thickBot="1">
      <c r="A250" s="2290" t="s">
        <v>213</v>
      </c>
      <c r="B250" s="2291"/>
      <c r="C250" s="2291"/>
      <c r="D250" s="2291"/>
      <c r="E250" s="2292"/>
      <c r="F250" s="2292"/>
      <c r="G250" s="348"/>
    </row>
    <row r="251" spans="1:7" ht="13.3" thickBot="1">
      <c r="A251" s="310" t="s">
        <v>7</v>
      </c>
      <c r="B251" s="317" t="s">
        <v>8</v>
      </c>
      <c r="C251" s="308" t="s">
        <v>283</v>
      </c>
      <c r="D251" s="2268">
        <v>11</v>
      </c>
      <c r="E251" s="2269"/>
      <c r="F251" s="309">
        <v>11</v>
      </c>
      <c r="G251" s="344">
        <v>11</v>
      </c>
    </row>
    <row r="252" spans="1:7" ht="13.3" thickBot="1">
      <c r="A252" s="310" t="s">
        <v>916</v>
      </c>
      <c r="B252" s="317" t="s">
        <v>14</v>
      </c>
      <c r="C252" s="308" t="s">
        <v>283</v>
      </c>
      <c r="D252" s="2268">
        <v>160</v>
      </c>
      <c r="E252" s="2269"/>
      <c r="F252" s="309">
        <v>170</v>
      </c>
      <c r="G252" s="344">
        <v>150</v>
      </c>
    </row>
    <row r="253" spans="1:7" ht="13.3" thickBot="1">
      <c r="A253" s="310" t="s">
        <v>323</v>
      </c>
      <c r="B253" s="317" t="s">
        <v>15</v>
      </c>
      <c r="C253" s="308" t="s">
        <v>283</v>
      </c>
      <c r="D253" s="2268">
        <v>4500</v>
      </c>
      <c r="E253" s="2269"/>
      <c r="F253" s="309">
        <v>4500</v>
      </c>
      <c r="G253" s="344">
        <v>4000</v>
      </c>
    </row>
    <row r="254" spans="1:7" ht="13.3" thickBot="1">
      <c r="A254" s="310" t="s">
        <v>917</v>
      </c>
      <c r="B254" s="317" t="s">
        <v>267</v>
      </c>
      <c r="C254" s="308" t="s">
        <v>283</v>
      </c>
      <c r="D254" s="2268">
        <v>700</v>
      </c>
      <c r="E254" s="2269"/>
      <c r="F254" s="309">
        <v>700</v>
      </c>
      <c r="G254" s="344">
        <v>700</v>
      </c>
    </row>
    <row r="255" spans="1:7" ht="26.15" thickBot="1">
      <c r="A255" s="312" t="s">
        <v>532</v>
      </c>
      <c r="B255" s="317" t="s">
        <v>17</v>
      </c>
      <c r="C255" s="308" t="s">
        <v>283</v>
      </c>
      <c r="D255" s="2268">
        <v>30</v>
      </c>
      <c r="E255" s="2269"/>
      <c r="F255" s="309">
        <v>30</v>
      </c>
      <c r="G255" s="344">
        <v>25</v>
      </c>
    </row>
    <row r="256" spans="1:7" ht="39" thickBot="1">
      <c r="A256" s="312" t="s">
        <v>533</v>
      </c>
      <c r="B256" s="317" t="s">
        <v>20</v>
      </c>
      <c r="C256" s="308" t="s">
        <v>283</v>
      </c>
      <c r="D256" s="2268">
        <v>20</v>
      </c>
      <c r="E256" s="2269"/>
      <c r="F256" s="309">
        <v>23</v>
      </c>
      <c r="G256" s="344">
        <v>17</v>
      </c>
    </row>
    <row r="257" spans="1:7" ht="27" customHeight="1" thickBot="1">
      <c r="A257" s="2290" t="s">
        <v>9</v>
      </c>
      <c r="B257" s="2291"/>
      <c r="C257" s="2291"/>
      <c r="D257" s="2291"/>
      <c r="E257" s="2292"/>
      <c r="F257" s="2292"/>
      <c r="G257" s="348"/>
    </row>
    <row r="258" spans="1:7" ht="26.15" thickBot="1">
      <c r="A258" s="312" t="s">
        <v>918</v>
      </c>
      <c r="B258" s="317" t="s">
        <v>162</v>
      </c>
      <c r="C258" s="308" t="s">
        <v>456</v>
      </c>
      <c r="D258" s="2268">
        <v>100</v>
      </c>
      <c r="E258" s="2269"/>
      <c r="F258" s="309">
        <v>100</v>
      </c>
      <c r="G258" s="344">
        <v>100</v>
      </c>
    </row>
    <row r="259" spans="1:7" ht="13.3" thickBot="1">
      <c r="A259" s="312" t="s">
        <v>194</v>
      </c>
      <c r="B259" s="317" t="s">
        <v>351</v>
      </c>
      <c r="C259" s="308" t="s">
        <v>283</v>
      </c>
      <c r="D259" s="2268">
        <v>3800</v>
      </c>
      <c r="E259" s="2269"/>
      <c r="F259" s="309">
        <v>3800</v>
      </c>
      <c r="G259" s="344">
        <v>3800</v>
      </c>
    </row>
    <row r="260" spans="1:7" ht="13.3" thickBot="1">
      <c r="A260" s="312" t="s">
        <v>195</v>
      </c>
      <c r="B260" s="317" t="s">
        <v>196</v>
      </c>
      <c r="C260" s="308" t="s">
        <v>283</v>
      </c>
      <c r="D260" s="2268">
        <v>300</v>
      </c>
      <c r="E260" s="2269"/>
      <c r="F260" s="309">
        <v>350</v>
      </c>
      <c r="G260" s="344">
        <v>250</v>
      </c>
    </row>
    <row r="261" spans="1:7" ht="26.15" thickBot="1">
      <c r="A261" s="312" t="s">
        <v>268</v>
      </c>
      <c r="B261" s="317" t="s">
        <v>197</v>
      </c>
      <c r="C261" s="308" t="s">
        <v>283</v>
      </c>
      <c r="D261" s="2268">
        <v>6000</v>
      </c>
      <c r="E261" s="2269"/>
      <c r="F261" s="309">
        <v>6000</v>
      </c>
      <c r="G261" s="344">
        <v>6000</v>
      </c>
    </row>
    <row r="262" spans="1:7" ht="13.3" thickBot="1">
      <c r="A262" s="312" t="s">
        <v>481</v>
      </c>
      <c r="B262" s="317" t="s">
        <v>198</v>
      </c>
      <c r="C262" s="308" t="s">
        <v>456</v>
      </c>
      <c r="D262" s="2268">
        <v>90</v>
      </c>
      <c r="E262" s="2269"/>
      <c r="F262" s="309">
        <v>90</v>
      </c>
      <c r="G262" s="344">
        <v>90</v>
      </c>
    </row>
    <row r="263" spans="1:7" ht="13.3" thickBot="1">
      <c r="A263" s="312" t="s">
        <v>919</v>
      </c>
      <c r="B263" s="317" t="s">
        <v>920</v>
      </c>
      <c r="C263" s="308" t="s">
        <v>283</v>
      </c>
      <c r="D263" s="2268">
        <v>0</v>
      </c>
      <c r="E263" s="2269"/>
      <c r="F263" s="309">
        <v>1</v>
      </c>
      <c r="G263" s="344">
        <v>1</v>
      </c>
    </row>
    <row r="264" spans="1:7" ht="27" customHeight="1" thickBot="1">
      <c r="A264" s="2290" t="s">
        <v>660</v>
      </c>
      <c r="B264" s="2291"/>
      <c r="C264" s="2291"/>
      <c r="D264" s="2291"/>
      <c r="E264" s="2292"/>
      <c r="F264" s="2292"/>
      <c r="G264" s="348"/>
    </row>
    <row r="265" spans="1:7" ht="13.3" thickBot="1">
      <c r="A265" s="312" t="s">
        <v>921</v>
      </c>
      <c r="B265" s="317" t="s">
        <v>630</v>
      </c>
      <c r="C265" s="308" t="s">
        <v>283</v>
      </c>
      <c r="D265" s="2268">
        <v>3</v>
      </c>
      <c r="E265" s="2269"/>
      <c r="F265" s="309">
        <v>3</v>
      </c>
      <c r="G265" s="344">
        <v>3</v>
      </c>
    </row>
    <row r="266" spans="1:7" ht="26.15" thickBot="1">
      <c r="A266" s="312" t="s">
        <v>922</v>
      </c>
      <c r="B266" s="317" t="s">
        <v>26</v>
      </c>
      <c r="C266" s="308" t="s">
        <v>283</v>
      </c>
      <c r="D266" s="2268">
        <v>100</v>
      </c>
      <c r="E266" s="2269"/>
      <c r="F266" s="309">
        <v>100</v>
      </c>
      <c r="G266" s="344">
        <v>100</v>
      </c>
    </row>
    <row r="267" spans="1:7" ht="13.3" thickBot="1">
      <c r="A267" s="312" t="s">
        <v>923</v>
      </c>
      <c r="B267" s="317" t="s">
        <v>27</v>
      </c>
      <c r="C267" s="308" t="s">
        <v>283</v>
      </c>
      <c r="D267" s="2268">
        <v>0</v>
      </c>
      <c r="E267" s="2269"/>
      <c r="F267" s="309">
        <v>0</v>
      </c>
      <c r="G267" s="344">
        <v>0</v>
      </c>
    </row>
    <row r="268" spans="1:7" ht="40.5" customHeight="1" thickBot="1">
      <c r="A268" s="2266" t="s">
        <v>535</v>
      </c>
      <c r="B268" s="2267"/>
      <c r="C268" s="2267"/>
      <c r="D268" s="2267"/>
      <c r="E268" s="2289"/>
      <c r="F268" s="2289"/>
      <c r="G268" s="349"/>
    </row>
    <row r="269" spans="1:7" ht="13.3" thickBot="1">
      <c r="A269" s="2266" t="s">
        <v>698</v>
      </c>
      <c r="B269" s="2267"/>
      <c r="C269" s="2267"/>
      <c r="D269" s="2267"/>
      <c r="E269" s="2289"/>
      <c r="F269" s="2289"/>
      <c r="G269" s="349"/>
    </row>
    <row r="270" spans="1:7" ht="45.45" thickBot="1">
      <c r="A270" s="306" t="s">
        <v>536</v>
      </c>
      <c r="B270" s="307" t="s">
        <v>670</v>
      </c>
      <c r="C270" s="308" t="s">
        <v>671</v>
      </c>
      <c r="D270" s="2338" t="s">
        <v>924</v>
      </c>
      <c r="E270" s="2339"/>
      <c r="F270" s="324" t="s">
        <v>924</v>
      </c>
      <c r="G270" s="356" t="s">
        <v>924</v>
      </c>
    </row>
    <row r="271" spans="1:7" ht="13.3" thickBot="1">
      <c r="A271" s="306" t="s">
        <v>158</v>
      </c>
      <c r="B271" s="307" t="s">
        <v>159</v>
      </c>
      <c r="C271" s="308" t="s">
        <v>456</v>
      </c>
      <c r="D271" s="2268">
        <v>90</v>
      </c>
      <c r="E271" s="2269"/>
      <c r="F271" s="309">
        <v>90</v>
      </c>
      <c r="G271" s="344">
        <v>90</v>
      </c>
    </row>
    <row r="272" spans="1:7" ht="13.3" thickBot="1">
      <c r="A272" s="306" t="s">
        <v>925</v>
      </c>
      <c r="B272" s="307" t="s">
        <v>238</v>
      </c>
      <c r="C272" s="308" t="s">
        <v>456</v>
      </c>
      <c r="D272" s="2268">
        <v>5</v>
      </c>
      <c r="E272" s="2269"/>
      <c r="F272" s="309">
        <v>5</v>
      </c>
      <c r="G272" s="344">
        <v>5</v>
      </c>
    </row>
    <row r="273" spans="1:7" ht="26.15" thickBot="1">
      <c r="A273" s="306" t="s">
        <v>926</v>
      </c>
      <c r="B273" s="307" t="s">
        <v>239</v>
      </c>
      <c r="C273" s="308" t="s">
        <v>283</v>
      </c>
      <c r="D273" s="2268">
        <v>12</v>
      </c>
      <c r="E273" s="2269"/>
      <c r="F273" s="309">
        <v>10</v>
      </c>
      <c r="G273" s="344">
        <v>12</v>
      </c>
    </row>
    <row r="274" spans="1:7" ht="31.5" customHeight="1" thickBot="1">
      <c r="A274" s="2270" t="s">
        <v>720</v>
      </c>
      <c r="B274" s="2271"/>
      <c r="C274" s="2271"/>
      <c r="D274" s="2271"/>
      <c r="E274" s="2272"/>
      <c r="F274" s="2272"/>
      <c r="G274" s="345"/>
    </row>
    <row r="275" spans="1:7" ht="13.3" thickBot="1">
      <c r="A275" s="2286" t="s">
        <v>476</v>
      </c>
      <c r="B275" s="2287"/>
      <c r="C275" s="2287"/>
      <c r="D275" s="2287"/>
      <c r="E275" s="2288"/>
      <c r="F275" s="2288"/>
      <c r="G275" s="346"/>
    </row>
    <row r="276" spans="1:7" ht="13.3" thickBot="1">
      <c r="A276" s="2286" t="s">
        <v>281</v>
      </c>
      <c r="B276" s="2287"/>
      <c r="C276" s="2287"/>
      <c r="D276" s="2287"/>
      <c r="E276" s="2288"/>
      <c r="F276" s="2288"/>
      <c r="G276" s="346"/>
    </row>
    <row r="277" spans="1:7" ht="13.3" thickBot="1">
      <c r="A277" s="306" t="s">
        <v>657</v>
      </c>
      <c r="B277" s="317" t="s">
        <v>36</v>
      </c>
      <c r="C277" s="308" t="s">
        <v>456</v>
      </c>
      <c r="D277" s="2268">
        <v>100</v>
      </c>
      <c r="E277" s="2269"/>
      <c r="F277" s="309">
        <v>100</v>
      </c>
      <c r="G277" s="344">
        <v>100</v>
      </c>
    </row>
    <row r="278" spans="1:7" ht="13.3" thickBot="1">
      <c r="A278" s="306" t="s">
        <v>457</v>
      </c>
      <c r="B278" s="317" t="s">
        <v>458</v>
      </c>
      <c r="C278" s="308" t="s">
        <v>283</v>
      </c>
      <c r="D278" s="2268">
        <v>2</v>
      </c>
      <c r="E278" s="2269"/>
      <c r="F278" s="309">
        <v>2</v>
      </c>
      <c r="G278" s="344">
        <v>2</v>
      </c>
    </row>
    <row r="279" spans="1:7" ht="13.3" thickBot="1">
      <c r="A279" s="306" t="s">
        <v>543</v>
      </c>
      <c r="B279" s="317" t="s">
        <v>573</v>
      </c>
      <c r="C279" s="308" t="s">
        <v>283</v>
      </c>
      <c r="D279" s="2268">
        <v>3</v>
      </c>
      <c r="E279" s="2269"/>
      <c r="F279" s="309">
        <v>3</v>
      </c>
      <c r="G279" s="344">
        <v>4</v>
      </c>
    </row>
    <row r="280" spans="1:7" ht="13.3" thickBot="1">
      <c r="A280" s="2281" t="s">
        <v>113</v>
      </c>
      <c r="B280" s="2282"/>
      <c r="C280" s="2282"/>
      <c r="D280" s="2282"/>
      <c r="E280" s="2283"/>
      <c r="F280" s="2283"/>
      <c r="G280" s="347"/>
    </row>
    <row r="281" spans="1:7" ht="40.5" customHeight="1" thickBot="1">
      <c r="A281" s="2290" t="s">
        <v>259</v>
      </c>
      <c r="B281" s="2291"/>
      <c r="C281" s="2291"/>
      <c r="D281" s="2291"/>
      <c r="E281" s="2292"/>
      <c r="F281" s="2292"/>
      <c r="G281" s="348"/>
    </row>
    <row r="282" spans="1:7" ht="13.3" thickBot="1">
      <c r="A282" s="310" t="s">
        <v>666</v>
      </c>
      <c r="B282" s="317" t="s">
        <v>731</v>
      </c>
      <c r="C282" s="308" t="s">
        <v>456</v>
      </c>
      <c r="D282" s="2268">
        <v>99</v>
      </c>
      <c r="E282" s="2269"/>
      <c r="F282" s="309">
        <v>99</v>
      </c>
      <c r="G282" s="344">
        <v>99</v>
      </c>
    </row>
    <row r="283" spans="1:7" ht="13.3" thickBot="1">
      <c r="A283" s="310" t="s">
        <v>732</v>
      </c>
      <c r="B283" s="317" t="s">
        <v>733</v>
      </c>
      <c r="C283" s="308" t="s">
        <v>734</v>
      </c>
      <c r="D283" s="2268">
        <v>350</v>
      </c>
      <c r="E283" s="2269"/>
      <c r="F283" s="309">
        <v>350</v>
      </c>
      <c r="G283" s="344">
        <v>350</v>
      </c>
    </row>
    <row r="284" spans="1:7" ht="26.15" thickBot="1">
      <c r="A284" s="312" t="s">
        <v>172</v>
      </c>
      <c r="B284" s="317" t="s">
        <v>488</v>
      </c>
      <c r="C284" s="308" t="s">
        <v>456</v>
      </c>
      <c r="D284" s="2268">
        <v>85</v>
      </c>
      <c r="E284" s="2269"/>
      <c r="F284" s="309">
        <v>85</v>
      </c>
      <c r="G284" s="344">
        <v>85</v>
      </c>
    </row>
    <row r="285" spans="1:7" ht="13.3" thickBot="1">
      <c r="A285" s="312" t="s">
        <v>101</v>
      </c>
      <c r="B285" s="317" t="s">
        <v>489</v>
      </c>
      <c r="C285" s="308" t="s">
        <v>490</v>
      </c>
      <c r="D285" s="2268">
        <v>1</v>
      </c>
      <c r="E285" s="2269"/>
      <c r="F285" s="309">
        <v>1</v>
      </c>
      <c r="G285" s="344">
        <v>1</v>
      </c>
    </row>
    <row r="286" spans="1:7" ht="13.3" thickBot="1">
      <c r="A286" s="312" t="s">
        <v>553</v>
      </c>
      <c r="B286" s="317" t="s">
        <v>589</v>
      </c>
      <c r="C286" s="308" t="s">
        <v>490</v>
      </c>
      <c r="D286" s="2268">
        <v>2</v>
      </c>
      <c r="E286" s="2269"/>
      <c r="F286" s="309">
        <v>2</v>
      </c>
      <c r="G286" s="344">
        <v>2</v>
      </c>
    </row>
    <row r="287" spans="1:7" ht="13.3" thickBot="1">
      <c r="A287" s="310" t="s">
        <v>927</v>
      </c>
      <c r="B287" s="317" t="s">
        <v>46</v>
      </c>
      <c r="C287" s="308" t="s">
        <v>283</v>
      </c>
      <c r="D287" s="2268">
        <v>75</v>
      </c>
      <c r="E287" s="2269"/>
      <c r="F287" s="309">
        <v>70</v>
      </c>
      <c r="G287" s="344">
        <v>80</v>
      </c>
    </row>
    <row r="288" spans="1:7" ht="13.3" thickBot="1">
      <c r="A288" s="310" t="s">
        <v>597</v>
      </c>
      <c r="B288" s="317" t="s">
        <v>103</v>
      </c>
      <c r="C288" s="308" t="s">
        <v>490</v>
      </c>
      <c r="D288" s="2268">
        <v>15</v>
      </c>
      <c r="E288" s="2269"/>
      <c r="F288" s="309">
        <v>15</v>
      </c>
      <c r="G288" s="344">
        <v>120</v>
      </c>
    </row>
    <row r="289" spans="1:7" ht="13.3" thickBot="1">
      <c r="A289" s="310" t="s">
        <v>598</v>
      </c>
      <c r="B289" s="317" t="s">
        <v>526</v>
      </c>
      <c r="C289" s="308" t="s">
        <v>490</v>
      </c>
      <c r="D289" s="2268">
        <v>0</v>
      </c>
      <c r="E289" s="2269"/>
      <c r="F289" s="309">
        <v>0</v>
      </c>
      <c r="G289" s="344">
        <v>40</v>
      </c>
    </row>
    <row r="290" spans="1:7" ht="27" customHeight="1" thickBot="1">
      <c r="A290" s="2290" t="s">
        <v>47</v>
      </c>
      <c r="B290" s="2291"/>
      <c r="C290" s="2291"/>
      <c r="D290" s="2291"/>
      <c r="E290" s="2292"/>
      <c r="F290" s="2292"/>
      <c r="G290" s="348"/>
    </row>
    <row r="291" spans="1:7" ht="13.3" thickBot="1">
      <c r="A291" s="310" t="s">
        <v>928</v>
      </c>
      <c r="B291" s="307" t="s">
        <v>48</v>
      </c>
      <c r="C291" s="308" t="s">
        <v>456</v>
      </c>
      <c r="D291" s="2268">
        <v>100</v>
      </c>
      <c r="E291" s="2269"/>
      <c r="F291" s="309">
        <v>100</v>
      </c>
      <c r="G291" s="344">
        <v>100</v>
      </c>
    </row>
    <row r="292" spans="1:7" ht="13.3" thickBot="1">
      <c r="A292" s="2290" t="s">
        <v>63</v>
      </c>
      <c r="B292" s="2291"/>
      <c r="C292" s="2291"/>
      <c r="D292" s="2291"/>
      <c r="E292" s="2292"/>
      <c r="F292" s="2292"/>
      <c r="G292" s="348"/>
    </row>
    <row r="293" spans="1:7" ht="13.3" thickBot="1">
      <c r="A293" s="310" t="s">
        <v>399</v>
      </c>
      <c r="B293" s="317" t="s">
        <v>64</v>
      </c>
      <c r="C293" s="308" t="s">
        <v>283</v>
      </c>
      <c r="D293" s="2268">
        <v>0</v>
      </c>
      <c r="E293" s="2269"/>
      <c r="F293" s="309">
        <v>0</v>
      </c>
      <c r="G293" s="344">
        <v>1</v>
      </c>
    </row>
    <row r="294" spans="1:7" ht="27" customHeight="1" thickBot="1">
      <c r="A294" s="2290" t="s">
        <v>184</v>
      </c>
      <c r="B294" s="2291"/>
      <c r="C294" s="2291"/>
      <c r="D294" s="2291"/>
      <c r="E294" s="2292"/>
      <c r="F294" s="2292"/>
      <c r="G294" s="348"/>
    </row>
    <row r="295" spans="1:7" ht="13.3" thickBot="1">
      <c r="A295" s="310" t="s">
        <v>186</v>
      </c>
      <c r="B295" s="307" t="s">
        <v>185</v>
      </c>
      <c r="C295" s="308" t="s">
        <v>283</v>
      </c>
      <c r="D295" s="2268">
        <v>50</v>
      </c>
      <c r="E295" s="2269"/>
      <c r="F295" s="309">
        <v>50</v>
      </c>
      <c r="G295" s="344">
        <v>50</v>
      </c>
    </row>
    <row r="296" spans="1:7" ht="40.5" customHeight="1" thickBot="1">
      <c r="A296" s="2266" t="s">
        <v>701</v>
      </c>
      <c r="B296" s="2267"/>
      <c r="C296" s="2267"/>
      <c r="D296" s="2267"/>
      <c r="E296" s="2289"/>
      <c r="F296" s="2289"/>
      <c r="G296" s="349"/>
    </row>
    <row r="297" spans="1:7" ht="13.3" thickBot="1">
      <c r="A297" s="2266" t="s">
        <v>698</v>
      </c>
      <c r="B297" s="2267"/>
      <c r="C297" s="2267"/>
      <c r="D297" s="2267"/>
      <c r="E297" s="2289"/>
      <c r="F297" s="2289"/>
      <c r="G297" s="349"/>
    </row>
    <row r="298" spans="1:7" ht="21.9" thickBot="1">
      <c r="A298" s="306" t="s">
        <v>929</v>
      </c>
      <c r="B298" s="307" t="s">
        <v>375</v>
      </c>
      <c r="C298" s="308" t="s">
        <v>534</v>
      </c>
      <c r="D298" s="2305">
        <v>16</v>
      </c>
      <c r="E298" s="2306"/>
      <c r="F298" s="315">
        <v>16</v>
      </c>
      <c r="G298" s="350">
        <v>16</v>
      </c>
    </row>
    <row r="299" spans="1:7" ht="21.9" thickBot="1">
      <c r="A299" s="306" t="s">
        <v>376</v>
      </c>
      <c r="B299" s="307" t="s">
        <v>377</v>
      </c>
      <c r="C299" s="308" t="s">
        <v>534</v>
      </c>
      <c r="D299" s="2268">
        <v>40</v>
      </c>
      <c r="E299" s="2269"/>
      <c r="F299" s="309">
        <v>40</v>
      </c>
      <c r="G299" s="344">
        <v>35</v>
      </c>
    </row>
    <row r="300" spans="1:7" ht="21.9" thickBot="1">
      <c r="A300" s="306" t="s">
        <v>301</v>
      </c>
      <c r="B300" s="307" t="s">
        <v>302</v>
      </c>
      <c r="C300" s="308" t="s">
        <v>456</v>
      </c>
      <c r="D300" s="2303" t="s">
        <v>346</v>
      </c>
      <c r="E300" s="2304"/>
      <c r="F300" s="316" t="s">
        <v>346</v>
      </c>
      <c r="G300" s="351" t="s">
        <v>853</v>
      </c>
    </row>
    <row r="301" spans="1:7" ht="31.5" customHeight="1" thickBot="1">
      <c r="A301" s="2270" t="s">
        <v>214</v>
      </c>
      <c r="B301" s="2271"/>
      <c r="C301" s="2271"/>
      <c r="D301" s="2271"/>
      <c r="E301" s="2272"/>
      <c r="F301" s="2272"/>
      <c r="G301" s="345"/>
    </row>
    <row r="302" spans="1:7" ht="40.5" customHeight="1" thickBot="1">
      <c r="A302" s="2286" t="s">
        <v>272</v>
      </c>
      <c r="B302" s="2287"/>
      <c r="C302" s="2287"/>
      <c r="D302" s="2287"/>
      <c r="E302" s="2288"/>
      <c r="F302" s="2288"/>
      <c r="G302" s="346"/>
    </row>
    <row r="303" spans="1:7" ht="13.3" thickBot="1">
      <c r="A303" s="2286" t="s">
        <v>281</v>
      </c>
      <c r="B303" s="2287"/>
      <c r="C303" s="2287"/>
      <c r="D303" s="2287"/>
      <c r="E303" s="2288"/>
      <c r="F303" s="2288"/>
      <c r="G303" s="346"/>
    </row>
    <row r="304" spans="1:7" ht="26.15" thickBot="1">
      <c r="A304" s="306" t="s">
        <v>930</v>
      </c>
      <c r="B304" s="307" t="s">
        <v>273</v>
      </c>
      <c r="C304" s="308" t="s">
        <v>456</v>
      </c>
      <c r="D304" s="2268">
        <v>90</v>
      </c>
      <c r="E304" s="2269"/>
      <c r="F304" s="309">
        <v>90</v>
      </c>
      <c r="G304" s="344">
        <v>90</v>
      </c>
    </row>
    <row r="305" spans="1:7" ht="13.3" thickBot="1">
      <c r="A305" s="306" t="s">
        <v>227</v>
      </c>
      <c r="B305" s="307" t="s">
        <v>808</v>
      </c>
      <c r="C305" s="308" t="s">
        <v>283</v>
      </c>
      <c r="D305" s="2268">
        <v>5</v>
      </c>
      <c r="E305" s="2269"/>
      <c r="F305" s="309">
        <v>10</v>
      </c>
      <c r="G305" s="344">
        <v>5</v>
      </c>
    </row>
    <row r="306" spans="1:7" ht="26.15" thickBot="1">
      <c r="A306" s="306" t="s">
        <v>500</v>
      </c>
      <c r="B306" s="307" t="s">
        <v>855</v>
      </c>
      <c r="C306" s="308" t="s">
        <v>283</v>
      </c>
      <c r="D306" s="2268">
        <v>3</v>
      </c>
      <c r="E306" s="2269"/>
      <c r="F306" s="309">
        <v>10</v>
      </c>
      <c r="G306" s="344">
        <v>3</v>
      </c>
    </row>
    <row r="307" spans="1:7" ht="13.3" thickBot="1">
      <c r="A307" s="306" t="s">
        <v>342</v>
      </c>
      <c r="B307" s="307" t="s">
        <v>228</v>
      </c>
      <c r="C307" s="308" t="s">
        <v>456</v>
      </c>
      <c r="D307" s="2268">
        <v>100</v>
      </c>
      <c r="E307" s="2269"/>
      <c r="F307" s="309">
        <v>100</v>
      </c>
      <c r="G307" s="344">
        <v>99</v>
      </c>
    </row>
    <row r="308" spans="1:7" ht="13.3" thickBot="1">
      <c r="A308" s="306" t="s">
        <v>807</v>
      </c>
      <c r="B308" s="307" t="s">
        <v>606</v>
      </c>
      <c r="C308" s="308" t="s">
        <v>283</v>
      </c>
      <c r="D308" s="2268">
        <v>2</v>
      </c>
      <c r="E308" s="2269"/>
      <c r="F308" s="309">
        <v>2</v>
      </c>
      <c r="G308" s="344">
        <v>2</v>
      </c>
    </row>
    <row r="309" spans="1:7" ht="34.5" customHeight="1">
      <c r="A309" s="2324" t="s">
        <v>931</v>
      </c>
      <c r="B309" s="325"/>
      <c r="C309" s="2326" t="s">
        <v>283</v>
      </c>
      <c r="D309" s="2322">
        <v>5</v>
      </c>
      <c r="E309" s="2328"/>
      <c r="F309" s="2322">
        <v>5</v>
      </c>
      <c r="G309" s="2341">
        <v>5</v>
      </c>
    </row>
    <row r="310" spans="1:7" ht="13.3" thickBot="1">
      <c r="A310" s="2325"/>
      <c r="B310" s="326" t="s">
        <v>607</v>
      </c>
      <c r="C310" s="2327"/>
      <c r="D310" s="2323"/>
      <c r="E310" s="2329"/>
      <c r="F310" s="2323"/>
      <c r="G310" s="2341"/>
    </row>
    <row r="311" spans="1:7" ht="13.3" thickBot="1">
      <c r="A311" s="2281" t="s">
        <v>113</v>
      </c>
      <c r="B311" s="2282"/>
      <c r="C311" s="2282"/>
      <c r="D311" s="2282"/>
      <c r="E311" s="2283"/>
      <c r="F311" s="2283"/>
      <c r="G311" s="347"/>
    </row>
    <row r="312" spans="1:7" ht="40.5" customHeight="1" thickBot="1">
      <c r="A312" s="2290" t="s">
        <v>932</v>
      </c>
      <c r="B312" s="2291"/>
      <c r="C312" s="2291"/>
      <c r="D312" s="2291"/>
      <c r="E312" s="2292"/>
      <c r="F312" s="2292"/>
      <c r="G312" s="348"/>
    </row>
    <row r="313" spans="1:7" ht="13.3" thickBot="1">
      <c r="A313" s="310" t="s">
        <v>146</v>
      </c>
      <c r="B313" s="307" t="s">
        <v>253</v>
      </c>
      <c r="C313" s="308" t="s">
        <v>283</v>
      </c>
      <c r="D313" s="2268">
        <v>2</v>
      </c>
      <c r="E313" s="2269"/>
      <c r="F313" s="309">
        <v>2</v>
      </c>
      <c r="G313" s="344">
        <v>2</v>
      </c>
    </row>
    <row r="314" spans="1:7" ht="13.3" thickBot="1">
      <c r="A314" s="310" t="s">
        <v>608</v>
      </c>
      <c r="B314" s="307" t="s">
        <v>255</v>
      </c>
      <c r="C314" s="308" t="s">
        <v>283</v>
      </c>
      <c r="D314" s="2268">
        <v>5</v>
      </c>
      <c r="E314" s="2269"/>
      <c r="F314" s="309">
        <v>10</v>
      </c>
      <c r="G314" s="344">
        <v>5</v>
      </c>
    </row>
    <row r="315" spans="1:7" ht="13.3" thickBot="1">
      <c r="A315" s="310" t="s">
        <v>254</v>
      </c>
      <c r="B315" s="307" t="s">
        <v>256</v>
      </c>
      <c r="C315" s="308" t="s">
        <v>283</v>
      </c>
      <c r="D315" s="2268">
        <v>2</v>
      </c>
      <c r="E315" s="2269"/>
      <c r="F315" s="309">
        <v>2</v>
      </c>
      <c r="G315" s="344">
        <v>2</v>
      </c>
    </row>
    <row r="316" spans="1:7" ht="13.3" thickBot="1">
      <c r="A316" s="310" t="s">
        <v>343</v>
      </c>
      <c r="B316" s="307" t="s">
        <v>115</v>
      </c>
      <c r="C316" s="308" t="s">
        <v>283</v>
      </c>
      <c r="D316" s="2268">
        <v>0</v>
      </c>
      <c r="E316" s="2269"/>
      <c r="F316" s="309">
        <v>0</v>
      </c>
      <c r="G316" s="344">
        <v>1</v>
      </c>
    </row>
    <row r="317" spans="1:7" ht="26.15" thickBot="1">
      <c r="A317" s="327" t="s">
        <v>933</v>
      </c>
      <c r="B317" s="307" t="s">
        <v>116</v>
      </c>
      <c r="C317" s="308" t="s">
        <v>117</v>
      </c>
      <c r="D317" s="2268">
        <v>600</v>
      </c>
      <c r="E317" s="2269"/>
      <c r="F317" s="309">
        <v>700</v>
      </c>
      <c r="G317" s="344">
        <v>500</v>
      </c>
    </row>
    <row r="318" spans="1:7" ht="13.3" thickBot="1">
      <c r="A318" s="312" t="s">
        <v>672</v>
      </c>
      <c r="B318" s="307" t="s">
        <v>673</v>
      </c>
      <c r="C318" s="308" t="s">
        <v>117</v>
      </c>
      <c r="D318" s="2268">
        <v>50</v>
      </c>
      <c r="E318" s="2269"/>
      <c r="F318" s="309">
        <v>50</v>
      </c>
      <c r="G318" s="344">
        <v>40</v>
      </c>
    </row>
    <row r="319" spans="1:7" ht="13.3" thickBot="1">
      <c r="A319" s="312" t="s">
        <v>219</v>
      </c>
      <c r="B319" s="307" t="s">
        <v>567</v>
      </c>
      <c r="C319" s="308" t="s">
        <v>283</v>
      </c>
      <c r="D319" s="2268">
        <v>1</v>
      </c>
      <c r="E319" s="2269"/>
      <c r="F319" s="309">
        <v>1</v>
      </c>
      <c r="G319" s="344">
        <v>1</v>
      </c>
    </row>
    <row r="320" spans="1:7" ht="13.3" thickBot="1">
      <c r="A320" s="312" t="s">
        <v>934</v>
      </c>
      <c r="B320" s="307" t="s">
        <v>322</v>
      </c>
      <c r="C320" s="308" t="s">
        <v>283</v>
      </c>
      <c r="D320" s="2268">
        <v>1</v>
      </c>
      <c r="E320" s="2269"/>
      <c r="F320" s="309">
        <v>1</v>
      </c>
      <c r="G320" s="344">
        <v>1</v>
      </c>
    </row>
    <row r="321" spans="1:7" ht="13.3" thickBot="1">
      <c r="A321" s="312" t="s">
        <v>935</v>
      </c>
      <c r="B321" s="307" t="s">
        <v>564</v>
      </c>
      <c r="C321" s="308" t="s">
        <v>283</v>
      </c>
      <c r="D321" s="2268">
        <v>1</v>
      </c>
      <c r="E321" s="2269"/>
      <c r="F321" s="309">
        <v>1</v>
      </c>
      <c r="G321" s="344">
        <v>1</v>
      </c>
    </row>
    <row r="322" spans="1:7" ht="13.3" thickBot="1">
      <c r="A322" s="2286" t="s">
        <v>257</v>
      </c>
      <c r="B322" s="2287"/>
      <c r="C322" s="2287"/>
      <c r="D322" s="2287"/>
      <c r="E322" s="2288"/>
      <c r="F322" s="2288"/>
      <c r="G322" s="346"/>
    </row>
    <row r="323" spans="1:7" ht="13.3" thickBot="1">
      <c r="A323" s="2286" t="s">
        <v>281</v>
      </c>
      <c r="B323" s="2287"/>
      <c r="C323" s="2287"/>
      <c r="D323" s="2287"/>
      <c r="E323" s="2288"/>
      <c r="F323" s="2288"/>
      <c r="G323" s="346"/>
    </row>
    <row r="324" spans="1:7" ht="13.3" thickBot="1">
      <c r="A324" s="306" t="s">
        <v>936</v>
      </c>
      <c r="B324" s="307" t="s">
        <v>299</v>
      </c>
      <c r="C324" s="308" t="s">
        <v>317</v>
      </c>
      <c r="D324" s="2268">
        <v>1600</v>
      </c>
      <c r="E324" s="2269"/>
      <c r="F324" s="309">
        <v>1700</v>
      </c>
      <c r="G324" s="344">
        <v>1500</v>
      </c>
    </row>
    <row r="325" spans="1:7" ht="13.3" thickBot="1">
      <c r="A325" s="306" t="s">
        <v>937</v>
      </c>
      <c r="B325" s="307" t="s">
        <v>740</v>
      </c>
      <c r="C325" s="308" t="s">
        <v>834</v>
      </c>
      <c r="D325" s="2303">
        <v>40000</v>
      </c>
      <c r="E325" s="2304"/>
      <c r="F325" s="316">
        <v>50000</v>
      </c>
      <c r="G325" s="351">
        <v>30000</v>
      </c>
    </row>
    <row r="326" spans="1:7" ht="13.3" thickBot="1">
      <c r="A326" s="2281" t="s">
        <v>113</v>
      </c>
      <c r="B326" s="2282"/>
      <c r="C326" s="2282"/>
      <c r="D326" s="2282"/>
      <c r="E326" s="2283"/>
      <c r="F326" s="2283"/>
      <c r="G326" s="347"/>
    </row>
    <row r="327" spans="1:7" ht="27" customHeight="1" thickBot="1">
      <c r="A327" s="2290" t="s">
        <v>459</v>
      </c>
      <c r="B327" s="2291"/>
      <c r="C327" s="2291"/>
      <c r="D327" s="2291"/>
      <c r="E327" s="2292"/>
      <c r="F327" s="2292"/>
      <c r="G327" s="348"/>
    </row>
    <row r="328" spans="1:7" ht="13.3" thickBot="1">
      <c r="A328" s="310" t="s">
        <v>938</v>
      </c>
      <c r="B328" s="317" t="s">
        <v>460</v>
      </c>
      <c r="C328" s="308" t="s">
        <v>283</v>
      </c>
      <c r="D328" s="2268">
        <v>3</v>
      </c>
      <c r="E328" s="2269"/>
      <c r="F328" s="309">
        <v>3</v>
      </c>
      <c r="G328" s="344">
        <v>3</v>
      </c>
    </row>
    <row r="329" spans="1:7" ht="13.3" thickBot="1">
      <c r="A329" s="310" t="s">
        <v>614</v>
      </c>
      <c r="B329" s="317" t="s">
        <v>61</v>
      </c>
      <c r="C329" s="308" t="s">
        <v>283</v>
      </c>
      <c r="D329" s="2268">
        <v>3</v>
      </c>
      <c r="E329" s="2269"/>
      <c r="F329" s="309">
        <v>3</v>
      </c>
      <c r="G329" s="344">
        <v>5</v>
      </c>
    </row>
    <row r="330" spans="1:7" ht="27" customHeight="1" thickBot="1">
      <c r="A330" s="2290" t="s">
        <v>939</v>
      </c>
      <c r="B330" s="2291"/>
      <c r="C330" s="2291"/>
      <c r="D330" s="2291"/>
      <c r="E330" s="2292"/>
      <c r="F330" s="2292"/>
      <c r="G330" s="348"/>
    </row>
    <row r="331" spans="1:7" ht="13.3" thickBot="1">
      <c r="A331" s="312" t="s">
        <v>850</v>
      </c>
      <c r="B331" s="307" t="s">
        <v>653</v>
      </c>
      <c r="C331" s="308" t="s">
        <v>283</v>
      </c>
      <c r="D331" s="2268">
        <v>1</v>
      </c>
      <c r="E331" s="2269"/>
      <c r="F331" s="309">
        <v>1</v>
      </c>
      <c r="G331" s="344">
        <v>1</v>
      </c>
    </row>
    <row r="332" spans="1:7" ht="13.3" thickBot="1">
      <c r="A332" s="312" t="s">
        <v>827</v>
      </c>
      <c r="B332" s="307" t="s">
        <v>851</v>
      </c>
      <c r="C332" s="308" t="s">
        <v>283</v>
      </c>
      <c r="D332" s="2268">
        <v>1</v>
      </c>
      <c r="E332" s="2269"/>
      <c r="F332" s="309">
        <v>0</v>
      </c>
      <c r="G332" s="344">
        <v>0</v>
      </c>
    </row>
    <row r="333" spans="1:7" ht="13.3" thickBot="1">
      <c r="A333" s="312" t="s">
        <v>940</v>
      </c>
      <c r="B333" s="307" t="s">
        <v>285</v>
      </c>
      <c r="C333" s="308" t="s">
        <v>283</v>
      </c>
      <c r="D333" s="2268">
        <v>3</v>
      </c>
      <c r="E333" s="2269"/>
      <c r="F333" s="309">
        <v>3</v>
      </c>
      <c r="G333" s="344">
        <v>6</v>
      </c>
    </row>
    <row r="334" spans="1:7" ht="26.15" thickBot="1">
      <c r="A334" s="312" t="s">
        <v>941</v>
      </c>
      <c r="B334" s="307" t="s">
        <v>828</v>
      </c>
      <c r="C334" s="308" t="s">
        <v>456</v>
      </c>
      <c r="D334" s="2268">
        <v>20</v>
      </c>
      <c r="E334" s="2269"/>
      <c r="F334" s="309">
        <v>30</v>
      </c>
      <c r="G334" s="344">
        <v>10</v>
      </c>
    </row>
    <row r="335" spans="1:7" ht="40.5" customHeight="1" thickBot="1">
      <c r="A335" s="2330" t="s">
        <v>942</v>
      </c>
      <c r="B335" s="2331"/>
      <c r="C335" s="2331"/>
      <c r="D335" s="2331"/>
      <c r="E335" s="2331"/>
      <c r="F335" s="2331"/>
      <c r="G335" s="357"/>
    </row>
    <row r="336" spans="1:7" ht="58.5" customHeight="1">
      <c r="A336" s="2320" t="s">
        <v>144</v>
      </c>
      <c r="B336" s="318"/>
      <c r="C336" s="2296" t="s">
        <v>143</v>
      </c>
      <c r="D336" s="2299">
        <v>5</v>
      </c>
      <c r="E336" s="2300"/>
      <c r="F336" s="2299">
        <v>10</v>
      </c>
      <c r="G336" s="2340">
        <v>9</v>
      </c>
    </row>
    <row r="337" spans="1:7" ht="13.3" thickBot="1">
      <c r="A337" s="2321"/>
      <c r="B337" s="317" t="s">
        <v>498</v>
      </c>
      <c r="C337" s="2298"/>
      <c r="D337" s="2301"/>
      <c r="E337" s="2302"/>
      <c r="F337" s="2301"/>
      <c r="G337" s="2340"/>
    </row>
    <row r="338" spans="1:7" ht="13.3" thickBot="1">
      <c r="A338" s="312" t="s">
        <v>576</v>
      </c>
      <c r="B338" s="317" t="s">
        <v>611</v>
      </c>
      <c r="C338" s="308" t="s">
        <v>283</v>
      </c>
      <c r="D338" s="2268">
        <v>0</v>
      </c>
      <c r="E338" s="2269"/>
      <c r="F338" s="309">
        <v>0</v>
      </c>
      <c r="G338" s="344">
        <v>2</v>
      </c>
    </row>
    <row r="339" spans="1:7" ht="39" thickBot="1">
      <c r="A339" s="312" t="s">
        <v>335</v>
      </c>
      <c r="B339" s="317" t="s">
        <v>334</v>
      </c>
      <c r="C339" s="308" t="s">
        <v>283</v>
      </c>
      <c r="D339" s="2268">
        <v>1</v>
      </c>
      <c r="E339" s="2269"/>
      <c r="F339" s="309">
        <v>0</v>
      </c>
      <c r="G339" s="344">
        <v>0</v>
      </c>
    </row>
    <row r="340" spans="1:7" ht="13.3" thickBot="1">
      <c r="A340" s="2286" t="s">
        <v>329</v>
      </c>
      <c r="B340" s="2287"/>
      <c r="C340" s="2287"/>
      <c r="D340" s="2287"/>
      <c r="E340" s="2287"/>
      <c r="F340" s="2287"/>
      <c r="G340" s="358"/>
    </row>
    <row r="341" spans="1:7" ht="13.3" thickBot="1">
      <c r="A341" s="2286" t="s">
        <v>281</v>
      </c>
      <c r="B341" s="2287"/>
      <c r="C341" s="2287"/>
      <c r="D341" s="2287"/>
      <c r="E341" s="2287"/>
      <c r="F341" s="2287"/>
      <c r="G341" s="358"/>
    </row>
    <row r="342" spans="1:7" ht="26.15" thickBot="1">
      <c r="A342" s="306" t="s">
        <v>615</v>
      </c>
      <c r="B342" s="317" t="s">
        <v>330</v>
      </c>
      <c r="C342" s="308" t="s">
        <v>283</v>
      </c>
      <c r="D342" s="2268">
        <v>1</v>
      </c>
      <c r="E342" s="2269"/>
      <c r="F342" s="309">
        <v>1</v>
      </c>
      <c r="G342" s="344">
        <v>1</v>
      </c>
    </row>
    <row r="343" spans="1:7" ht="12.9" thickBot="1">
      <c r="A343" s="2281" t="s">
        <v>113</v>
      </c>
      <c r="B343" s="2282"/>
      <c r="C343" s="2282"/>
      <c r="D343" s="2282"/>
      <c r="E343" s="2282"/>
      <c r="F343" s="2282"/>
      <c r="G343" s="359"/>
    </row>
    <row r="344" spans="1:7" ht="13.3" thickBot="1">
      <c r="A344" s="2290" t="s">
        <v>331</v>
      </c>
      <c r="B344" s="2291"/>
      <c r="C344" s="2291"/>
      <c r="D344" s="2291"/>
      <c r="E344" s="2291"/>
      <c r="F344" s="2291"/>
      <c r="G344" s="360"/>
    </row>
    <row r="345" spans="1:7" ht="13.3" thickBot="1">
      <c r="A345" s="310" t="s">
        <v>10</v>
      </c>
      <c r="B345" s="307" t="s">
        <v>619</v>
      </c>
      <c r="C345" s="308" t="s">
        <v>456</v>
      </c>
      <c r="D345" s="2268">
        <v>20</v>
      </c>
      <c r="E345" s="2269"/>
      <c r="F345" s="309">
        <v>20</v>
      </c>
      <c r="G345" s="344">
        <v>20</v>
      </c>
    </row>
    <row r="346" spans="1:7" ht="13.3" thickBot="1">
      <c r="A346" s="310" t="s">
        <v>618</v>
      </c>
      <c r="B346" s="307" t="s">
        <v>379</v>
      </c>
      <c r="C346" s="308" t="s">
        <v>283</v>
      </c>
      <c r="D346" s="2268">
        <v>1</v>
      </c>
      <c r="E346" s="2269"/>
      <c r="F346" s="309">
        <v>0</v>
      </c>
      <c r="G346" s="344">
        <v>0</v>
      </c>
    </row>
    <row r="347" spans="1:7" ht="13.3" thickBot="1">
      <c r="A347" s="310" t="s">
        <v>482</v>
      </c>
      <c r="B347" s="307" t="s">
        <v>483</v>
      </c>
      <c r="C347" s="308" t="s">
        <v>283</v>
      </c>
      <c r="D347" s="2268">
        <v>1</v>
      </c>
      <c r="E347" s="2269"/>
      <c r="F347" s="309">
        <v>1</v>
      </c>
      <c r="G347" s="344">
        <v>0</v>
      </c>
    </row>
    <row r="348" spans="1:7" ht="13.3" thickBot="1">
      <c r="A348" s="310" t="s">
        <v>403</v>
      </c>
      <c r="B348" s="307" t="s">
        <v>404</v>
      </c>
      <c r="C348" s="308" t="s">
        <v>283</v>
      </c>
      <c r="D348" s="2268">
        <v>1</v>
      </c>
      <c r="E348" s="2269"/>
      <c r="F348" s="309">
        <v>1</v>
      </c>
      <c r="G348" s="344">
        <v>1</v>
      </c>
    </row>
    <row r="349" spans="1:7" ht="27" customHeight="1" thickBot="1">
      <c r="A349" s="2290" t="s">
        <v>560</v>
      </c>
      <c r="B349" s="2291"/>
      <c r="C349" s="2291"/>
      <c r="D349" s="2291"/>
      <c r="E349" s="2291"/>
      <c r="F349" s="2291"/>
      <c r="G349" s="360"/>
    </row>
    <row r="350" spans="1:7" ht="13.3" thickBot="1">
      <c r="A350" s="312" t="s">
        <v>943</v>
      </c>
      <c r="B350" s="307" t="s">
        <v>467</v>
      </c>
      <c r="C350" s="308" t="s">
        <v>283</v>
      </c>
      <c r="D350" s="2268">
        <v>1</v>
      </c>
      <c r="E350" s="2269"/>
      <c r="F350" s="309">
        <v>1</v>
      </c>
      <c r="G350" s="344">
        <v>1</v>
      </c>
    </row>
    <row r="351" spans="1:7" ht="13.3" thickBot="1">
      <c r="A351" s="312" t="s">
        <v>378</v>
      </c>
      <c r="B351" s="307" t="s">
        <v>468</v>
      </c>
      <c r="C351" s="308" t="s">
        <v>283</v>
      </c>
      <c r="D351" s="2268">
        <v>1</v>
      </c>
      <c r="E351" s="2269"/>
      <c r="F351" s="309">
        <v>1</v>
      </c>
      <c r="G351" s="344">
        <v>1</v>
      </c>
    </row>
    <row r="352" spans="1:7" ht="13.3" thickBot="1">
      <c r="A352" s="312" t="s">
        <v>562</v>
      </c>
      <c r="B352" s="307" t="s">
        <v>561</v>
      </c>
      <c r="C352" s="308" t="s">
        <v>456</v>
      </c>
      <c r="D352" s="2268">
        <v>100</v>
      </c>
      <c r="E352" s="2269"/>
      <c r="F352" s="309">
        <v>100</v>
      </c>
      <c r="G352" s="344">
        <v>100</v>
      </c>
    </row>
    <row r="353" spans="1:7" ht="13.3" thickBot="1">
      <c r="A353" s="312" t="s">
        <v>80</v>
      </c>
      <c r="B353" s="307" t="s">
        <v>79</v>
      </c>
      <c r="C353" s="308" t="s">
        <v>283</v>
      </c>
      <c r="D353" s="2268">
        <v>0</v>
      </c>
      <c r="E353" s="2269"/>
      <c r="F353" s="309">
        <v>0</v>
      </c>
      <c r="G353" s="344">
        <v>7</v>
      </c>
    </row>
    <row r="354" spans="1:7" ht="31.5" customHeight="1" thickBot="1">
      <c r="A354" s="2332" t="s">
        <v>284</v>
      </c>
      <c r="B354" s="2333"/>
      <c r="C354" s="2333"/>
      <c r="D354" s="2333"/>
      <c r="E354" s="2272"/>
      <c r="F354" s="2272"/>
      <c r="G354" s="345"/>
    </row>
    <row r="355" spans="1:7" ht="27" customHeight="1" thickBot="1">
      <c r="A355" s="2286" t="s">
        <v>310</v>
      </c>
      <c r="B355" s="2287"/>
      <c r="C355" s="2287"/>
      <c r="D355" s="2287"/>
      <c r="E355" s="2288"/>
      <c r="F355" s="2288"/>
      <c r="G355" s="346"/>
    </row>
    <row r="356" spans="1:7" ht="13.3" thickBot="1">
      <c r="A356" s="2286" t="s">
        <v>281</v>
      </c>
      <c r="B356" s="2287"/>
      <c r="C356" s="2287"/>
      <c r="D356" s="2287"/>
      <c r="E356" s="2288"/>
      <c r="F356" s="2288"/>
      <c r="G356" s="346"/>
    </row>
    <row r="357" spans="1:7" ht="26.15" thickBot="1">
      <c r="A357" s="306" t="s">
        <v>944</v>
      </c>
      <c r="B357" s="317" t="s">
        <v>311</v>
      </c>
      <c r="C357" s="308" t="s">
        <v>283</v>
      </c>
      <c r="D357" s="2268">
        <v>1</v>
      </c>
      <c r="E357" s="2269"/>
      <c r="F357" s="309">
        <v>1</v>
      </c>
      <c r="G357" s="344">
        <v>1</v>
      </c>
    </row>
    <row r="358" spans="1:7" ht="13.3" thickBot="1">
      <c r="A358" s="306" t="s">
        <v>75</v>
      </c>
      <c r="B358" s="317" t="s">
        <v>747</v>
      </c>
      <c r="C358" s="308" t="s">
        <v>456</v>
      </c>
      <c r="D358" s="2268">
        <v>100</v>
      </c>
      <c r="E358" s="2269"/>
      <c r="F358" s="309">
        <v>100</v>
      </c>
      <c r="G358" s="344">
        <v>100</v>
      </c>
    </row>
    <row r="359" spans="1:7" ht="13.3" thickBot="1">
      <c r="A359" s="2281" t="s">
        <v>113</v>
      </c>
      <c r="B359" s="2282"/>
      <c r="C359" s="2282"/>
      <c r="D359" s="2282"/>
      <c r="E359" s="2283"/>
      <c r="F359" s="2283"/>
      <c r="G359" s="347"/>
    </row>
    <row r="360" spans="1:7" ht="13.3" thickBot="1">
      <c r="A360" s="2290" t="s">
        <v>312</v>
      </c>
      <c r="B360" s="2291"/>
      <c r="C360" s="2291"/>
      <c r="D360" s="2291"/>
      <c r="E360" s="2292"/>
      <c r="F360" s="2292"/>
      <c r="G360" s="348"/>
    </row>
    <row r="361" spans="1:7" ht="13.3" thickBot="1">
      <c r="A361" s="310" t="s">
        <v>945</v>
      </c>
      <c r="B361" s="317" t="s">
        <v>3</v>
      </c>
      <c r="C361" s="308" t="s">
        <v>4</v>
      </c>
      <c r="D361" s="2316">
        <v>35000</v>
      </c>
      <c r="E361" s="2317"/>
      <c r="F361" s="323">
        <v>36000</v>
      </c>
      <c r="G361" s="354">
        <v>34000</v>
      </c>
    </row>
    <row r="362" spans="1:7" ht="13.3" thickBot="1">
      <c r="A362" s="310" t="s">
        <v>123</v>
      </c>
      <c r="B362" s="317" t="s">
        <v>124</v>
      </c>
      <c r="C362" s="308" t="s">
        <v>49</v>
      </c>
      <c r="D362" s="2316">
        <v>65000</v>
      </c>
      <c r="E362" s="2317"/>
      <c r="F362" s="323">
        <v>65000</v>
      </c>
      <c r="G362" s="354">
        <v>65000</v>
      </c>
    </row>
    <row r="363" spans="1:7" ht="13.3" thickBot="1">
      <c r="A363" s="310" t="s">
        <v>717</v>
      </c>
      <c r="B363" s="317" t="s">
        <v>447</v>
      </c>
      <c r="C363" s="308" t="s">
        <v>4</v>
      </c>
      <c r="D363" s="2268">
        <v>42</v>
      </c>
      <c r="E363" s="2269"/>
      <c r="F363" s="309">
        <v>42</v>
      </c>
      <c r="G363" s="344">
        <v>42</v>
      </c>
    </row>
    <row r="364" spans="1:7" ht="13.3" thickBot="1">
      <c r="A364" s="310" t="s">
        <v>946</v>
      </c>
      <c r="B364" s="317" t="s">
        <v>605</v>
      </c>
      <c r="C364" s="308" t="s">
        <v>4</v>
      </c>
      <c r="D364" s="2268">
        <v>90</v>
      </c>
      <c r="E364" s="2269"/>
      <c r="F364" s="309">
        <v>90</v>
      </c>
      <c r="G364" s="344">
        <v>90</v>
      </c>
    </row>
    <row r="365" spans="1:7" ht="27" customHeight="1" thickBot="1">
      <c r="A365" s="2290" t="s">
        <v>448</v>
      </c>
      <c r="B365" s="2291"/>
      <c r="C365" s="2291"/>
      <c r="D365" s="2291"/>
      <c r="E365" s="2292"/>
      <c r="F365" s="2292"/>
      <c r="G365" s="348"/>
    </row>
    <row r="366" spans="1:7" ht="26.15" thickBot="1">
      <c r="A366" s="312" t="s">
        <v>505</v>
      </c>
      <c r="B366" s="317" t="s">
        <v>3</v>
      </c>
      <c r="C366" s="308" t="s">
        <v>283</v>
      </c>
      <c r="D366" s="2268">
        <v>0.5</v>
      </c>
      <c r="E366" s="2269"/>
      <c r="F366" s="309">
        <v>1</v>
      </c>
      <c r="G366" s="344">
        <v>0.2</v>
      </c>
    </row>
    <row r="367" spans="1:7" ht="13.3" thickBot="1">
      <c r="A367" s="310" t="s">
        <v>67</v>
      </c>
      <c r="B367" s="307" t="s">
        <v>124</v>
      </c>
      <c r="C367" s="308" t="s">
        <v>270</v>
      </c>
      <c r="D367" s="2268">
        <v>2100</v>
      </c>
      <c r="E367" s="2269"/>
      <c r="F367" s="309">
        <v>2100</v>
      </c>
      <c r="G367" s="344">
        <v>2100</v>
      </c>
    </row>
    <row r="368" spans="1:7" ht="13.3" thickBot="1">
      <c r="A368" s="310" t="s">
        <v>68</v>
      </c>
      <c r="B368" s="307" t="s">
        <v>447</v>
      </c>
      <c r="C368" s="308" t="s">
        <v>270</v>
      </c>
      <c r="D368" s="2268">
        <v>920</v>
      </c>
      <c r="E368" s="2269"/>
      <c r="F368" s="309">
        <v>920</v>
      </c>
      <c r="G368" s="344">
        <v>1500</v>
      </c>
    </row>
    <row r="369" spans="1:7" ht="13.3" thickBot="1">
      <c r="A369" s="310" t="s">
        <v>269</v>
      </c>
      <c r="B369" s="307" t="s">
        <v>605</v>
      </c>
      <c r="C369" s="308" t="s">
        <v>270</v>
      </c>
      <c r="D369" s="2268">
        <v>2900</v>
      </c>
      <c r="E369" s="2269"/>
      <c r="F369" s="309">
        <v>2900</v>
      </c>
      <c r="G369" s="344">
        <v>0</v>
      </c>
    </row>
    <row r="370" spans="1:7" ht="13.3" thickBot="1">
      <c r="A370" s="310" t="s">
        <v>947</v>
      </c>
      <c r="B370" s="307" t="s">
        <v>297</v>
      </c>
      <c r="C370" s="308" t="s">
        <v>270</v>
      </c>
      <c r="D370" s="2268">
        <v>3000</v>
      </c>
      <c r="E370" s="2269"/>
      <c r="F370" s="309">
        <v>3000</v>
      </c>
      <c r="G370" s="344">
        <v>3000</v>
      </c>
    </row>
    <row r="371" spans="1:7" ht="26.15" thickBot="1">
      <c r="A371" s="312" t="s">
        <v>948</v>
      </c>
      <c r="B371" s="317" t="s">
        <v>753</v>
      </c>
      <c r="C371" s="308" t="s">
        <v>665</v>
      </c>
      <c r="D371" s="2268">
        <v>0</v>
      </c>
      <c r="E371" s="2269"/>
      <c r="F371" s="309">
        <v>0</v>
      </c>
      <c r="G371" s="344">
        <v>724</v>
      </c>
    </row>
    <row r="372" spans="1:7" ht="13.3" thickBot="1">
      <c r="A372" s="312" t="s">
        <v>949</v>
      </c>
      <c r="B372" s="317" t="s">
        <v>85</v>
      </c>
      <c r="C372" s="308" t="s">
        <v>283</v>
      </c>
      <c r="D372" s="2268">
        <v>0</v>
      </c>
      <c r="E372" s="2269"/>
      <c r="F372" s="309">
        <v>0</v>
      </c>
      <c r="G372" s="344">
        <v>2</v>
      </c>
    </row>
    <row r="373" spans="1:7" ht="27" customHeight="1" thickBot="1">
      <c r="A373" s="2286" t="s">
        <v>450</v>
      </c>
      <c r="B373" s="2287"/>
      <c r="C373" s="2287"/>
      <c r="D373" s="2287"/>
      <c r="E373" s="2288"/>
      <c r="F373" s="2288"/>
      <c r="G373" s="346"/>
    </row>
    <row r="374" spans="1:7" ht="13.3" thickBot="1">
      <c r="A374" s="2286" t="s">
        <v>281</v>
      </c>
      <c r="B374" s="2287"/>
      <c r="C374" s="2287"/>
      <c r="D374" s="2287"/>
      <c r="E374" s="2288"/>
      <c r="F374" s="2288"/>
      <c r="G374" s="346"/>
    </row>
    <row r="375" spans="1:7" ht="26.15" thickBot="1">
      <c r="A375" s="306" t="s">
        <v>507</v>
      </c>
      <c r="B375" s="317" t="s">
        <v>435</v>
      </c>
      <c r="C375" s="308" t="s">
        <v>283</v>
      </c>
      <c r="D375" s="2268">
        <v>4</v>
      </c>
      <c r="E375" s="2269"/>
      <c r="F375" s="309">
        <v>5</v>
      </c>
      <c r="G375" s="344">
        <v>4</v>
      </c>
    </row>
    <row r="376" spans="1:7" ht="26.15" thickBot="1">
      <c r="A376" s="306" t="s">
        <v>705</v>
      </c>
      <c r="B376" s="317" t="s">
        <v>436</v>
      </c>
      <c r="C376" s="308" t="s">
        <v>456</v>
      </c>
      <c r="D376" s="2268">
        <v>40</v>
      </c>
      <c r="E376" s="2269"/>
      <c r="F376" s="309">
        <v>40</v>
      </c>
      <c r="G376" s="344">
        <v>40</v>
      </c>
    </row>
    <row r="377" spans="1:7" ht="13.3" thickBot="1">
      <c r="A377" s="306" t="s">
        <v>166</v>
      </c>
      <c r="B377" s="317" t="s">
        <v>167</v>
      </c>
      <c r="C377" s="308" t="s">
        <v>456</v>
      </c>
      <c r="D377" s="2334" t="s">
        <v>711</v>
      </c>
      <c r="E377" s="2335"/>
      <c r="F377" s="328">
        <v>0.6</v>
      </c>
      <c r="G377" s="361">
        <v>0.2</v>
      </c>
    </row>
    <row r="378" spans="1:7" ht="13.3" thickBot="1">
      <c r="A378" s="306" t="s">
        <v>950</v>
      </c>
      <c r="B378" s="317" t="s">
        <v>748</v>
      </c>
      <c r="C378" s="308" t="s">
        <v>249</v>
      </c>
      <c r="D378" s="2334" t="s">
        <v>845</v>
      </c>
      <c r="E378" s="2335"/>
      <c r="F378" s="328" t="s">
        <v>845</v>
      </c>
      <c r="G378" s="361" t="s">
        <v>173</v>
      </c>
    </row>
    <row r="379" spans="1:7" ht="26.15" thickBot="1">
      <c r="A379" s="306" t="s">
        <v>951</v>
      </c>
      <c r="B379" s="317" t="s">
        <v>60</v>
      </c>
      <c r="C379" s="308" t="s">
        <v>456</v>
      </c>
      <c r="D379" s="2334">
        <v>100</v>
      </c>
      <c r="E379" s="2335"/>
      <c r="F379" s="328">
        <v>100</v>
      </c>
      <c r="G379" s="361">
        <v>100</v>
      </c>
    </row>
    <row r="380" spans="1:7" ht="13.3" thickBot="1">
      <c r="A380" s="306" t="s">
        <v>713</v>
      </c>
      <c r="B380" s="317" t="s">
        <v>714</v>
      </c>
      <c r="C380" s="308" t="s">
        <v>283</v>
      </c>
      <c r="D380" s="2334">
        <v>2</v>
      </c>
      <c r="E380" s="2335"/>
      <c r="F380" s="328">
        <v>2</v>
      </c>
      <c r="G380" s="361">
        <v>0</v>
      </c>
    </row>
    <row r="381" spans="1:7" ht="13.3" thickBot="1">
      <c r="A381" s="306" t="s">
        <v>952</v>
      </c>
      <c r="B381" s="317" t="s">
        <v>141</v>
      </c>
      <c r="C381" s="308" t="s">
        <v>283</v>
      </c>
      <c r="D381" s="2334">
        <v>10</v>
      </c>
      <c r="E381" s="2335"/>
      <c r="F381" s="328">
        <v>10</v>
      </c>
      <c r="G381" s="361">
        <v>5</v>
      </c>
    </row>
    <row r="382" spans="1:7" ht="13.3" thickBot="1">
      <c r="A382" s="2281" t="s">
        <v>113</v>
      </c>
      <c r="B382" s="2282"/>
      <c r="C382" s="2282"/>
      <c r="D382" s="2282"/>
      <c r="E382" s="2283"/>
      <c r="F382" s="2283"/>
      <c r="G382" s="347"/>
    </row>
    <row r="383" spans="1:7" ht="27" customHeight="1" thickBot="1">
      <c r="A383" s="2290" t="s">
        <v>240</v>
      </c>
      <c r="B383" s="2291"/>
      <c r="C383" s="2291"/>
      <c r="D383" s="2291"/>
      <c r="E383" s="2292"/>
      <c r="F383" s="2292"/>
      <c r="G383" s="348"/>
    </row>
    <row r="384" spans="1:7" ht="13.3" thickBot="1">
      <c r="A384" s="312" t="s">
        <v>212</v>
      </c>
      <c r="B384" s="317" t="s">
        <v>241</v>
      </c>
      <c r="C384" s="308" t="s">
        <v>456</v>
      </c>
      <c r="D384" s="2268">
        <v>90</v>
      </c>
      <c r="E384" s="2269"/>
      <c r="F384" s="309">
        <v>100</v>
      </c>
      <c r="G384" s="344">
        <v>20</v>
      </c>
    </row>
    <row r="385" spans="1:7" ht="27" customHeight="1" thickBot="1">
      <c r="A385" s="2290" t="s">
        <v>798</v>
      </c>
      <c r="B385" s="2291"/>
      <c r="C385" s="2291"/>
      <c r="D385" s="2291"/>
      <c r="E385" s="2292"/>
      <c r="F385" s="2292"/>
      <c r="G385" s="348"/>
    </row>
    <row r="386" spans="1:7" ht="13.3" thickBot="1">
      <c r="A386" s="312" t="s">
        <v>492</v>
      </c>
      <c r="B386" s="317" t="s">
        <v>652</v>
      </c>
      <c r="C386" s="308" t="s">
        <v>283</v>
      </c>
      <c r="D386" s="2268">
        <v>2</v>
      </c>
      <c r="E386" s="2269"/>
      <c r="F386" s="309">
        <v>1</v>
      </c>
      <c r="G386" s="344">
        <v>3</v>
      </c>
    </row>
    <row r="387" spans="1:7" ht="13.3" thickBot="1">
      <c r="A387" s="312" t="s">
        <v>953</v>
      </c>
      <c r="B387" s="317" t="s">
        <v>40</v>
      </c>
      <c r="C387" s="308" t="s">
        <v>283</v>
      </c>
      <c r="D387" s="2268">
        <v>2</v>
      </c>
      <c r="E387" s="2269"/>
      <c r="F387" s="309">
        <v>2</v>
      </c>
      <c r="G387" s="344">
        <v>1</v>
      </c>
    </row>
    <row r="388" spans="1:7" ht="40.5" customHeight="1" thickBot="1">
      <c r="A388" s="2290" t="s">
        <v>954</v>
      </c>
      <c r="B388" s="2291"/>
      <c r="C388" s="2291"/>
      <c r="D388" s="2291"/>
      <c r="E388" s="2292"/>
      <c r="F388" s="2292"/>
      <c r="G388" s="348"/>
    </row>
    <row r="389" spans="1:7" ht="13.3" thickBot="1">
      <c r="A389" s="312" t="s">
        <v>754</v>
      </c>
      <c r="B389" s="307" t="s">
        <v>392</v>
      </c>
      <c r="C389" s="308" t="s">
        <v>665</v>
      </c>
      <c r="D389" s="2268">
        <v>1100</v>
      </c>
      <c r="E389" s="2269"/>
      <c r="F389" s="309">
        <v>1100</v>
      </c>
      <c r="G389" s="344">
        <v>0</v>
      </c>
    </row>
    <row r="390" spans="1:7" ht="13.3" thickBot="1">
      <c r="A390" s="312" t="s">
        <v>397</v>
      </c>
      <c r="B390" s="317" t="s">
        <v>201</v>
      </c>
      <c r="C390" s="308" t="s">
        <v>283</v>
      </c>
      <c r="D390" s="2268">
        <v>1</v>
      </c>
      <c r="E390" s="2269"/>
      <c r="F390" s="309">
        <v>1</v>
      </c>
      <c r="G390" s="344">
        <v>1</v>
      </c>
    </row>
    <row r="391" spans="1:7" ht="13.3" thickBot="1">
      <c r="A391" s="312" t="s">
        <v>42</v>
      </c>
      <c r="B391" s="317" t="s">
        <v>41</v>
      </c>
      <c r="C391" s="308" t="s">
        <v>283</v>
      </c>
      <c r="D391" s="2268">
        <v>0</v>
      </c>
      <c r="E391" s="2269"/>
      <c r="F391" s="309">
        <v>1</v>
      </c>
      <c r="G391" s="344">
        <v>0</v>
      </c>
    </row>
    <row r="392" spans="1:7" ht="13.3" thickBot="1">
      <c r="A392" s="2290" t="s">
        <v>398</v>
      </c>
      <c r="B392" s="2291"/>
      <c r="C392" s="2291"/>
      <c r="D392" s="2291"/>
      <c r="E392" s="2291"/>
      <c r="F392" s="2291"/>
      <c r="G392" s="360"/>
    </row>
    <row r="393" spans="1:7" ht="13.3" thickBot="1">
      <c r="A393" s="312" t="s">
        <v>420</v>
      </c>
      <c r="B393" s="317" t="s">
        <v>823</v>
      </c>
      <c r="C393" s="308" t="s">
        <v>283</v>
      </c>
      <c r="D393" s="2268">
        <v>8</v>
      </c>
      <c r="E393" s="2269"/>
      <c r="F393" s="309">
        <v>8</v>
      </c>
      <c r="G393" s="344">
        <v>14</v>
      </c>
    </row>
    <row r="394" spans="1:7" ht="13.3" thickBot="1">
      <c r="A394" s="312" t="s">
        <v>37</v>
      </c>
      <c r="B394" s="317" t="s">
        <v>651</v>
      </c>
      <c r="C394" s="308" t="s">
        <v>283</v>
      </c>
      <c r="D394" s="2268">
        <v>1</v>
      </c>
      <c r="E394" s="2269"/>
      <c r="F394" s="309">
        <v>1</v>
      </c>
      <c r="G394" s="344">
        <v>1</v>
      </c>
    </row>
    <row r="395" spans="1:7" ht="40.5" customHeight="1" thickBot="1">
      <c r="A395" s="2290" t="s">
        <v>955</v>
      </c>
      <c r="B395" s="2291"/>
      <c r="C395" s="2291"/>
      <c r="D395" s="2291"/>
      <c r="E395" s="2292"/>
      <c r="F395" s="2292"/>
      <c r="G395" s="348"/>
    </row>
    <row r="396" spans="1:7" ht="13.3" thickBot="1">
      <c r="A396" s="312" t="s">
        <v>704</v>
      </c>
      <c r="B396" s="317" t="s">
        <v>464</v>
      </c>
      <c r="C396" s="308" t="s">
        <v>283</v>
      </c>
      <c r="D396" s="2305">
        <v>2</v>
      </c>
      <c r="E396" s="2306"/>
      <c r="F396" s="315">
        <v>3</v>
      </c>
      <c r="G396" s="350">
        <v>2</v>
      </c>
    </row>
    <row r="397" spans="1:7" ht="40.5" customHeight="1" thickBot="1">
      <c r="A397" s="2286" t="s">
        <v>702</v>
      </c>
      <c r="B397" s="2287"/>
      <c r="C397" s="2287"/>
      <c r="D397" s="2287"/>
      <c r="E397" s="2288"/>
      <c r="F397" s="2288"/>
      <c r="G397" s="346"/>
    </row>
    <row r="398" spans="1:7" ht="13.3" thickBot="1">
      <c r="A398" s="2286" t="s">
        <v>281</v>
      </c>
      <c r="B398" s="2287"/>
      <c r="C398" s="2287"/>
      <c r="D398" s="2287"/>
      <c r="E398" s="2288"/>
      <c r="F398" s="2288"/>
      <c r="G398" s="346"/>
    </row>
    <row r="399" spans="1:7" ht="26.15" thickBot="1">
      <c r="A399" s="306" t="s">
        <v>279</v>
      </c>
      <c r="B399" s="307" t="s">
        <v>703</v>
      </c>
      <c r="C399" s="308" t="s">
        <v>456</v>
      </c>
      <c r="D399" s="2305">
        <v>99</v>
      </c>
      <c r="E399" s="2306"/>
      <c r="F399" s="315">
        <v>99</v>
      </c>
      <c r="G399" s="350">
        <v>99</v>
      </c>
    </row>
    <row r="400" spans="1:7" ht="13.3" thickBot="1">
      <c r="A400" s="2281" t="s">
        <v>113</v>
      </c>
      <c r="B400" s="2282"/>
      <c r="C400" s="2282"/>
      <c r="D400" s="2282"/>
      <c r="E400" s="2283"/>
      <c r="F400" s="2283"/>
      <c r="G400" s="347"/>
    </row>
    <row r="401" spans="1:7" ht="27" customHeight="1" thickBot="1">
      <c r="A401" s="2290" t="s">
        <v>147</v>
      </c>
      <c r="B401" s="2291"/>
      <c r="C401" s="2291"/>
      <c r="D401" s="2291"/>
      <c r="E401" s="2292"/>
      <c r="F401" s="2292"/>
      <c r="G401" s="348"/>
    </row>
    <row r="402" spans="1:7" ht="13.3" thickBot="1">
      <c r="A402" s="310" t="s">
        <v>736</v>
      </c>
      <c r="B402" s="307" t="s">
        <v>237</v>
      </c>
      <c r="C402" s="308" t="s">
        <v>229</v>
      </c>
      <c r="D402" s="2268">
        <v>900000</v>
      </c>
      <c r="E402" s="2269"/>
      <c r="F402" s="309">
        <v>850000</v>
      </c>
      <c r="G402" s="344">
        <v>950000</v>
      </c>
    </row>
    <row r="403" spans="1:7" ht="13.3" thickBot="1">
      <c r="A403" s="310" t="s">
        <v>174</v>
      </c>
      <c r="B403" s="307" t="s">
        <v>726</v>
      </c>
      <c r="C403" s="308" t="s">
        <v>665</v>
      </c>
      <c r="D403" s="2268">
        <v>2000</v>
      </c>
      <c r="E403" s="2269"/>
      <c r="F403" s="309">
        <v>2000</v>
      </c>
      <c r="G403" s="344">
        <v>2000</v>
      </c>
    </row>
    <row r="404" spans="1:7" ht="13.3" thickBot="1">
      <c r="A404" s="310" t="s">
        <v>956</v>
      </c>
      <c r="B404" s="307" t="s">
        <v>402</v>
      </c>
      <c r="C404" s="308" t="s">
        <v>283</v>
      </c>
      <c r="D404" s="2268">
        <v>4</v>
      </c>
      <c r="E404" s="2269"/>
      <c r="F404" s="309">
        <v>4</v>
      </c>
      <c r="G404" s="344">
        <v>4</v>
      </c>
    </row>
    <row r="405" spans="1:7" ht="13.3" thickBot="1">
      <c r="A405" s="310" t="s">
        <v>957</v>
      </c>
      <c r="B405" s="307" t="s">
        <v>958</v>
      </c>
      <c r="C405" s="308" t="s">
        <v>283</v>
      </c>
      <c r="D405" s="2268">
        <v>5</v>
      </c>
      <c r="E405" s="2269"/>
      <c r="F405" s="309">
        <v>4</v>
      </c>
      <c r="G405" s="344">
        <v>6</v>
      </c>
    </row>
    <row r="406" spans="1:7" ht="13.3" thickBot="1">
      <c r="A406" s="2290" t="s">
        <v>78</v>
      </c>
      <c r="B406" s="2291"/>
      <c r="C406" s="2291"/>
      <c r="D406" s="2291"/>
      <c r="E406" s="2292"/>
      <c r="F406" s="2292"/>
      <c r="G406" s="348"/>
    </row>
    <row r="407" spans="1:7" ht="13.3" thickBot="1">
      <c r="A407" s="312" t="s">
        <v>230</v>
      </c>
      <c r="B407" s="317" t="s">
        <v>231</v>
      </c>
      <c r="C407" s="308" t="s">
        <v>283</v>
      </c>
      <c r="D407" s="2268">
        <v>3</v>
      </c>
      <c r="E407" s="2269"/>
      <c r="F407" s="309">
        <v>3</v>
      </c>
      <c r="G407" s="344">
        <v>2</v>
      </c>
    </row>
    <row r="408" spans="1:7" ht="13.3" thickBot="1">
      <c r="A408" s="312" t="s">
        <v>474</v>
      </c>
      <c r="B408" s="317" t="s">
        <v>1</v>
      </c>
      <c r="C408" s="308" t="s">
        <v>283</v>
      </c>
      <c r="D408" s="2268">
        <v>0</v>
      </c>
      <c r="E408" s="2269"/>
      <c r="F408" s="309">
        <v>0</v>
      </c>
      <c r="G408" s="344">
        <v>1</v>
      </c>
    </row>
    <row r="409" spans="1:7" ht="13.3" thickBot="1">
      <c r="A409" s="312" t="s">
        <v>88</v>
      </c>
      <c r="B409" s="317" t="s">
        <v>90</v>
      </c>
      <c r="C409" s="308" t="s">
        <v>456</v>
      </c>
      <c r="D409" s="2309"/>
      <c r="E409" s="2310"/>
      <c r="F409" s="307">
        <v>0.2</v>
      </c>
      <c r="G409" s="307">
        <v>1</v>
      </c>
    </row>
  </sheetData>
  <mergeCells count="538">
    <mergeCell ref="G336:G337"/>
    <mergeCell ref="D47:E47"/>
    <mergeCell ref="D14:E14"/>
    <mergeCell ref="D13:E13"/>
    <mergeCell ref="G56:G57"/>
    <mergeCell ref="G217:G218"/>
    <mergeCell ref="G309:G310"/>
    <mergeCell ref="D106:E106"/>
    <mergeCell ref="D105:E105"/>
    <mergeCell ref="D104:E104"/>
    <mergeCell ref="D103:E103"/>
    <mergeCell ref="D77:E77"/>
    <mergeCell ref="D76:E76"/>
    <mergeCell ref="D134:E134"/>
    <mergeCell ref="D116:E116"/>
    <mergeCell ref="D115:E115"/>
    <mergeCell ref="D114:E114"/>
    <mergeCell ref="D113:E113"/>
    <mergeCell ref="D112:E112"/>
    <mergeCell ref="D157:E157"/>
    <mergeCell ref="D156:E156"/>
    <mergeCell ref="D153:E153"/>
    <mergeCell ref="D152:E152"/>
    <mergeCell ref="D151:E151"/>
    <mergeCell ref="D187:E187"/>
    <mergeCell ref="D186:E186"/>
    <mergeCell ref="D178:E178"/>
    <mergeCell ref="D177:E177"/>
    <mergeCell ref="D161:E161"/>
    <mergeCell ref="D160:E160"/>
    <mergeCell ref="D271:E271"/>
    <mergeCell ref="D270:E270"/>
    <mergeCell ref="D247:E247"/>
    <mergeCell ref="D246:E246"/>
    <mergeCell ref="D191:E191"/>
    <mergeCell ref="D190:E190"/>
    <mergeCell ref="D258:E258"/>
    <mergeCell ref="D259:E259"/>
    <mergeCell ref="D260:E260"/>
    <mergeCell ref="D261:E261"/>
    <mergeCell ref="D262:E262"/>
    <mergeCell ref="D263:E263"/>
    <mergeCell ref="D252:E252"/>
    <mergeCell ref="D253:E253"/>
    <mergeCell ref="D254:E254"/>
    <mergeCell ref="D255:E255"/>
    <mergeCell ref="D256:E256"/>
    <mergeCell ref="A257:D257"/>
    <mergeCell ref="D313:E313"/>
    <mergeCell ref="D305:E305"/>
    <mergeCell ref="D304:E304"/>
    <mergeCell ref="D273:E273"/>
    <mergeCell ref="D272:E272"/>
    <mergeCell ref="D377:E377"/>
    <mergeCell ref="D376:E376"/>
    <mergeCell ref="D375:E375"/>
    <mergeCell ref="D362:E362"/>
    <mergeCell ref="D361:E361"/>
    <mergeCell ref="D358:E358"/>
    <mergeCell ref="D368:E368"/>
    <mergeCell ref="D369:E369"/>
    <mergeCell ref="D370:E370"/>
    <mergeCell ref="D371:E371"/>
    <mergeCell ref="D372:E372"/>
    <mergeCell ref="A373:D373"/>
    <mergeCell ref="E373:F373"/>
    <mergeCell ref="D363:E363"/>
    <mergeCell ref="D364:E364"/>
    <mergeCell ref="A365:D365"/>
    <mergeCell ref="E365:F365"/>
    <mergeCell ref="D366:E366"/>
    <mergeCell ref="D367:E367"/>
    <mergeCell ref="D408:E408"/>
    <mergeCell ref="D409:E409"/>
    <mergeCell ref="A83:F83"/>
    <mergeCell ref="D378:E378"/>
    <mergeCell ref="D403:E403"/>
    <mergeCell ref="D404:E404"/>
    <mergeCell ref="D405:E405"/>
    <mergeCell ref="A406:D406"/>
    <mergeCell ref="E406:F406"/>
    <mergeCell ref="D407:E407"/>
    <mergeCell ref="D399:E399"/>
    <mergeCell ref="A400:D400"/>
    <mergeCell ref="E400:F400"/>
    <mergeCell ref="A401:D401"/>
    <mergeCell ref="E401:F401"/>
    <mergeCell ref="D402:E402"/>
    <mergeCell ref="A395:D395"/>
    <mergeCell ref="E395:F395"/>
    <mergeCell ref="D396:E396"/>
    <mergeCell ref="A397:D397"/>
    <mergeCell ref="E397:F397"/>
    <mergeCell ref="A398:D398"/>
    <mergeCell ref="E398:F398"/>
    <mergeCell ref="D389:E389"/>
    <mergeCell ref="D390:E390"/>
    <mergeCell ref="D391:E391"/>
    <mergeCell ref="A392:F392"/>
    <mergeCell ref="D393:E393"/>
    <mergeCell ref="D394:E394"/>
    <mergeCell ref="D384:E384"/>
    <mergeCell ref="A385:D385"/>
    <mergeCell ref="E385:F385"/>
    <mergeCell ref="D386:E386"/>
    <mergeCell ref="D387:E387"/>
    <mergeCell ref="A388:D388"/>
    <mergeCell ref="E388:F388"/>
    <mergeCell ref="D379:E379"/>
    <mergeCell ref="D380:E380"/>
    <mergeCell ref="D381:E381"/>
    <mergeCell ref="A382:D382"/>
    <mergeCell ref="E382:F382"/>
    <mergeCell ref="A383:D383"/>
    <mergeCell ref="E383:F383"/>
    <mergeCell ref="A374:D374"/>
    <mergeCell ref="E374:F374"/>
    <mergeCell ref="A359:D359"/>
    <mergeCell ref="E359:F359"/>
    <mergeCell ref="A360:D360"/>
    <mergeCell ref="E360:F360"/>
    <mergeCell ref="A355:D355"/>
    <mergeCell ref="E355:F355"/>
    <mergeCell ref="A356:D356"/>
    <mergeCell ref="E356:F356"/>
    <mergeCell ref="D357:E357"/>
    <mergeCell ref="D350:E350"/>
    <mergeCell ref="D351:E351"/>
    <mergeCell ref="D352:E352"/>
    <mergeCell ref="D353:E353"/>
    <mergeCell ref="A354:D354"/>
    <mergeCell ref="E354:F354"/>
    <mergeCell ref="A344:F344"/>
    <mergeCell ref="D345:E345"/>
    <mergeCell ref="D346:E346"/>
    <mergeCell ref="D347:E347"/>
    <mergeCell ref="D348:E348"/>
    <mergeCell ref="A349:F349"/>
    <mergeCell ref="D338:E338"/>
    <mergeCell ref="D339:E339"/>
    <mergeCell ref="A340:F340"/>
    <mergeCell ref="A341:F341"/>
    <mergeCell ref="D342:E342"/>
    <mergeCell ref="A343:F343"/>
    <mergeCell ref="D333:E333"/>
    <mergeCell ref="D334:E334"/>
    <mergeCell ref="A335:F335"/>
    <mergeCell ref="A336:A337"/>
    <mergeCell ref="C336:C337"/>
    <mergeCell ref="D336:E337"/>
    <mergeCell ref="F336:F337"/>
    <mergeCell ref="D328:E328"/>
    <mergeCell ref="D329:E329"/>
    <mergeCell ref="A330:D330"/>
    <mergeCell ref="E330:F330"/>
    <mergeCell ref="D331:E331"/>
    <mergeCell ref="D332:E332"/>
    <mergeCell ref="D324:E324"/>
    <mergeCell ref="D325:E325"/>
    <mergeCell ref="A326:D326"/>
    <mergeCell ref="E326:F326"/>
    <mergeCell ref="A327:D327"/>
    <mergeCell ref="E327:F327"/>
    <mergeCell ref="D320:E320"/>
    <mergeCell ref="D321:E321"/>
    <mergeCell ref="A322:D322"/>
    <mergeCell ref="E322:F322"/>
    <mergeCell ref="A323:D323"/>
    <mergeCell ref="E323:F323"/>
    <mergeCell ref="D314:E314"/>
    <mergeCell ref="D315:E315"/>
    <mergeCell ref="D316:E316"/>
    <mergeCell ref="D317:E317"/>
    <mergeCell ref="D318:E318"/>
    <mergeCell ref="D319:E319"/>
    <mergeCell ref="F309:F310"/>
    <mergeCell ref="A311:D311"/>
    <mergeCell ref="E311:F311"/>
    <mergeCell ref="A312:D312"/>
    <mergeCell ref="E312:F312"/>
    <mergeCell ref="D306:E306"/>
    <mergeCell ref="D307:E307"/>
    <mergeCell ref="D308:E308"/>
    <mergeCell ref="A309:A310"/>
    <mergeCell ref="C309:C310"/>
    <mergeCell ref="D309:E310"/>
    <mergeCell ref="A302:D302"/>
    <mergeCell ref="E302:F302"/>
    <mergeCell ref="A303:D303"/>
    <mergeCell ref="E303:F303"/>
    <mergeCell ref="A297:D297"/>
    <mergeCell ref="E297:F297"/>
    <mergeCell ref="D298:E298"/>
    <mergeCell ref="D299:E299"/>
    <mergeCell ref="D300:E300"/>
    <mergeCell ref="A301:D301"/>
    <mergeCell ref="E301:F301"/>
    <mergeCell ref="D293:E293"/>
    <mergeCell ref="A294:D294"/>
    <mergeCell ref="E294:F294"/>
    <mergeCell ref="D295:E295"/>
    <mergeCell ref="A296:D296"/>
    <mergeCell ref="E296:F296"/>
    <mergeCell ref="D288:E288"/>
    <mergeCell ref="D289:E289"/>
    <mergeCell ref="A290:D290"/>
    <mergeCell ref="E290:F290"/>
    <mergeCell ref="D291:E291"/>
    <mergeCell ref="A292:D292"/>
    <mergeCell ref="E292:F292"/>
    <mergeCell ref="D282:E282"/>
    <mergeCell ref="D283:E283"/>
    <mergeCell ref="D284:E284"/>
    <mergeCell ref="D285:E285"/>
    <mergeCell ref="D286:E286"/>
    <mergeCell ref="D287:E287"/>
    <mergeCell ref="D277:E277"/>
    <mergeCell ref="D278:E278"/>
    <mergeCell ref="D279:E279"/>
    <mergeCell ref="A280:D280"/>
    <mergeCell ref="E280:F280"/>
    <mergeCell ref="A281:D281"/>
    <mergeCell ref="E281:F281"/>
    <mergeCell ref="A274:D274"/>
    <mergeCell ref="E274:F274"/>
    <mergeCell ref="A275:D275"/>
    <mergeCell ref="E275:F275"/>
    <mergeCell ref="A276:D276"/>
    <mergeCell ref="E276:F276"/>
    <mergeCell ref="A269:D269"/>
    <mergeCell ref="E269:F269"/>
    <mergeCell ref="A264:D264"/>
    <mergeCell ref="E264:F264"/>
    <mergeCell ref="D265:E265"/>
    <mergeCell ref="D266:E266"/>
    <mergeCell ref="D267:E267"/>
    <mergeCell ref="A268:D268"/>
    <mergeCell ref="E268:F268"/>
    <mergeCell ref="E257:F257"/>
    <mergeCell ref="D248:E248"/>
    <mergeCell ref="A249:D249"/>
    <mergeCell ref="E249:F249"/>
    <mergeCell ref="A250:D250"/>
    <mergeCell ref="E250:F250"/>
    <mergeCell ref="D251:E251"/>
    <mergeCell ref="A244:D244"/>
    <mergeCell ref="E244:F244"/>
    <mergeCell ref="A245:D245"/>
    <mergeCell ref="E245:F245"/>
    <mergeCell ref="D238:E238"/>
    <mergeCell ref="D239:E239"/>
    <mergeCell ref="D240:E240"/>
    <mergeCell ref="D241:E241"/>
    <mergeCell ref="D242:E242"/>
    <mergeCell ref="A243:D243"/>
    <mergeCell ref="E243:F243"/>
    <mergeCell ref="D234:E234"/>
    <mergeCell ref="A235:D235"/>
    <mergeCell ref="E235:F235"/>
    <mergeCell ref="A236:D236"/>
    <mergeCell ref="E236:F236"/>
    <mergeCell ref="D237:E237"/>
    <mergeCell ref="D230:E230"/>
    <mergeCell ref="A231:D231"/>
    <mergeCell ref="E231:F231"/>
    <mergeCell ref="A232:D232"/>
    <mergeCell ref="E232:F232"/>
    <mergeCell ref="D233:E233"/>
    <mergeCell ref="D224:E224"/>
    <mergeCell ref="D225:E225"/>
    <mergeCell ref="D226:E226"/>
    <mergeCell ref="D227:E227"/>
    <mergeCell ref="D228:E228"/>
    <mergeCell ref="D229:E229"/>
    <mergeCell ref="F217:F218"/>
    <mergeCell ref="D219:E219"/>
    <mergeCell ref="D220:E220"/>
    <mergeCell ref="D221:E221"/>
    <mergeCell ref="D222:E222"/>
    <mergeCell ref="A223:D223"/>
    <mergeCell ref="E223:F223"/>
    <mergeCell ref="D215:E215"/>
    <mergeCell ref="D216:E216"/>
    <mergeCell ref="A217:A218"/>
    <mergeCell ref="C217:C218"/>
    <mergeCell ref="D217:E218"/>
    <mergeCell ref="A211:D211"/>
    <mergeCell ref="E211:F211"/>
    <mergeCell ref="A212:D212"/>
    <mergeCell ref="E212:F212"/>
    <mergeCell ref="D213:E213"/>
    <mergeCell ref="A214:D214"/>
    <mergeCell ref="E214:F214"/>
    <mergeCell ref="D205:E205"/>
    <mergeCell ref="D206:E206"/>
    <mergeCell ref="D207:E207"/>
    <mergeCell ref="D208:E208"/>
    <mergeCell ref="D209:E209"/>
    <mergeCell ref="D210:E210"/>
    <mergeCell ref="D201:E201"/>
    <mergeCell ref="A202:D202"/>
    <mergeCell ref="E202:F202"/>
    <mergeCell ref="A203:D203"/>
    <mergeCell ref="E203:F203"/>
    <mergeCell ref="A204:D204"/>
    <mergeCell ref="E204:F204"/>
    <mergeCell ref="D196:E196"/>
    <mergeCell ref="D197:E197"/>
    <mergeCell ref="D198:E198"/>
    <mergeCell ref="A199:D199"/>
    <mergeCell ref="E199:F199"/>
    <mergeCell ref="D200:E200"/>
    <mergeCell ref="D192:E192"/>
    <mergeCell ref="D193:E193"/>
    <mergeCell ref="A194:D194"/>
    <mergeCell ref="E194:F194"/>
    <mergeCell ref="A195:D195"/>
    <mergeCell ref="E195:F195"/>
    <mergeCell ref="A188:D188"/>
    <mergeCell ref="E188:F188"/>
    <mergeCell ref="A189:D189"/>
    <mergeCell ref="E189:F189"/>
    <mergeCell ref="A184:D184"/>
    <mergeCell ref="E184:F184"/>
    <mergeCell ref="A185:D185"/>
    <mergeCell ref="E185:F185"/>
    <mergeCell ref="D179:E179"/>
    <mergeCell ref="A180:D180"/>
    <mergeCell ref="E180:F180"/>
    <mergeCell ref="A181:D181"/>
    <mergeCell ref="E181:F181"/>
    <mergeCell ref="A182:A183"/>
    <mergeCell ref="D182:E182"/>
    <mergeCell ref="D183:E183"/>
    <mergeCell ref="A175:D175"/>
    <mergeCell ref="E175:F175"/>
    <mergeCell ref="A176:D176"/>
    <mergeCell ref="E176:F176"/>
    <mergeCell ref="A172:D172"/>
    <mergeCell ref="E172:F172"/>
    <mergeCell ref="A173:D173"/>
    <mergeCell ref="E173:F173"/>
    <mergeCell ref="D167:E167"/>
    <mergeCell ref="D168:E168"/>
    <mergeCell ref="D169:E169"/>
    <mergeCell ref="D170:E170"/>
    <mergeCell ref="A171:D171"/>
    <mergeCell ref="E171:F171"/>
    <mergeCell ref="D162:E162"/>
    <mergeCell ref="D163:E163"/>
    <mergeCell ref="D164:E164"/>
    <mergeCell ref="A165:D165"/>
    <mergeCell ref="E165:F165"/>
    <mergeCell ref="D166:E166"/>
    <mergeCell ref="A158:D158"/>
    <mergeCell ref="E158:F158"/>
    <mergeCell ref="A159:D159"/>
    <mergeCell ref="E159:F159"/>
    <mergeCell ref="A154:D154"/>
    <mergeCell ref="E154:F154"/>
    <mergeCell ref="A155:D155"/>
    <mergeCell ref="E155:F155"/>
    <mergeCell ref="A149:D149"/>
    <mergeCell ref="E149:F149"/>
    <mergeCell ref="D144:E144"/>
    <mergeCell ref="D145:E145"/>
    <mergeCell ref="D146:E146"/>
    <mergeCell ref="D147:E147"/>
    <mergeCell ref="A148:D148"/>
    <mergeCell ref="E148:F148"/>
    <mergeCell ref="D150:E150"/>
    <mergeCell ref="A141:D141"/>
    <mergeCell ref="E141:F141"/>
    <mergeCell ref="A142:D142"/>
    <mergeCell ref="E142:F142"/>
    <mergeCell ref="A143:D143"/>
    <mergeCell ref="E143:F143"/>
    <mergeCell ref="D135:E135"/>
    <mergeCell ref="D136:E136"/>
    <mergeCell ref="D137:E137"/>
    <mergeCell ref="D138:E138"/>
    <mergeCell ref="D139:E139"/>
    <mergeCell ref="D140:E140"/>
    <mergeCell ref="A131:D131"/>
    <mergeCell ref="E131:F131"/>
    <mergeCell ref="D132:E132"/>
    <mergeCell ref="A133:D133"/>
    <mergeCell ref="E133:F133"/>
    <mergeCell ref="A127:D127"/>
    <mergeCell ref="E127:F127"/>
    <mergeCell ref="D128:E128"/>
    <mergeCell ref="D129:E129"/>
    <mergeCell ref="A130:D130"/>
    <mergeCell ref="E130:F130"/>
    <mergeCell ref="A123:D123"/>
    <mergeCell ref="E123:F123"/>
    <mergeCell ref="D124:E124"/>
    <mergeCell ref="A125:D125"/>
    <mergeCell ref="E125:F125"/>
    <mergeCell ref="A126:D126"/>
    <mergeCell ref="E126:F126"/>
    <mergeCell ref="D119:E119"/>
    <mergeCell ref="A120:D120"/>
    <mergeCell ref="E120:F120"/>
    <mergeCell ref="A121:D121"/>
    <mergeCell ref="E121:F121"/>
    <mergeCell ref="D122:E122"/>
    <mergeCell ref="D117:E117"/>
    <mergeCell ref="D118:E118"/>
    <mergeCell ref="B112:B116"/>
    <mergeCell ref="D107:E107"/>
    <mergeCell ref="B108:B111"/>
    <mergeCell ref="D108:E108"/>
    <mergeCell ref="D109:E109"/>
    <mergeCell ref="D110:E110"/>
    <mergeCell ref="D111:E111"/>
    <mergeCell ref="A103:A104"/>
    <mergeCell ref="B103:B104"/>
    <mergeCell ref="D98:E98"/>
    <mergeCell ref="D99:E99"/>
    <mergeCell ref="D100:E100"/>
    <mergeCell ref="D101:E101"/>
    <mergeCell ref="A102:D102"/>
    <mergeCell ref="E102:F102"/>
    <mergeCell ref="D92:E92"/>
    <mergeCell ref="D93:E93"/>
    <mergeCell ref="D94:E94"/>
    <mergeCell ref="D95:E95"/>
    <mergeCell ref="D96:E96"/>
    <mergeCell ref="D97:E97"/>
    <mergeCell ref="D86:E86"/>
    <mergeCell ref="D87:E87"/>
    <mergeCell ref="D88:E88"/>
    <mergeCell ref="D89:E89"/>
    <mergeCell ref="D90:E90"/>
    <mergeCell ref="D91:E91"/>
    <mergeCell ref="D84:E84"/>
    <mergeCell ref="D85:E85"/>
    <mergeCell ref="D78:E78"/>
    <mergeCell ref="B79:B80"/>
    <mergeCell ref="D79:E79"/>
    <mergeCell ref="D80:E80"/>
    <mergeCell ref="D81:E81"/>
    <mergeCell ref="A82:D82"/>
    <mergeCell ref="E82:F82"/>
    <mergeCell ref="A74:D74"/>
    <mergeCell ref="E74:F74"/>
    <mergeCell ref="A75:D75"/>
    <mergeCell ref="E75:F75"/>
    <mergeCell ref="D69:E69"/>
    <mergeCell ref="D70:E70"/>
    <mergeCell ref="D71:E71"/>
    <mergeCell ref="D72:E72"/>
    <mergeCell ref="A73:D73"/>
    <mergeCell ref="E73:F73"/>
    <mergeCell ref="D63:E63"/>
    <mergeCell ref="D64:E64"/>
    <mergeCell ref="D65:E65"/>
    <mergeCell ref="D66:E66"/>
    <mergeCell ref="D67:E67"/>
    <mergeCell ref="D68:E68"/>
    <mergeCell ref="D59:E59"/>
    <mergeCell ref="D60:E60"/>
    <mergeCell ref="A61:D61"/>
    <mergeCell ref="E61:F61"/>
    <mergeCell ref="A62:D62"/>
    <mergeCell ref="E62:F62"/>
    <mergeCell ref="A53:D53"/>
    <mergeCell ref="E53:F53"/>
    <mergeCell ref="D54:E54"/>
    <mergeCell ref="D55:E55"/>
    <mergeCell ref="B56:B60"/>
    <mergeCell ref="C56:C60"/>
    <mergeCell ref="D56:E57"/>
    <mergeCell ref="F56:F57"/>
    <mergeCell ref="D58:E58"/>
    <mergeCell ref="D48:E48"/>
    <mergeCell ref="D49:E49"/>
    <mergeCell ref="A50:D50"/>
    <mergeCell ref="E50:F50"/>
    <mergeCell ref="D51:E51"/>
    <mergeCell ref="D52:E52"/>
    <mergeCell ref="A44:D44"/>
    <mergeCell ref="E44:F44"/>
    <mergeCell ref="D45:E45"/>
    <mergeCell ref="A46:D46"/>
    <mergeCell ref="E46:F46"/>
    <mergeCell ref="A39:D39"/>
    <mergeCell ref="E39:F39"/>
    <mergeCell ref="D40:E40"/>
    <mergeCell ref="D41:E41"/>
    <mergeCell ref="D42:E42"/>
    <mergeCell ref="A43:D43"/>
    <mergeCell ref="E43:F43"/>
    <mergeCell ref="D34:E34"/>
    <mergeCell ref="A35:D35"/>
    <mergeCell ref="E35:F35"/>
    <mergeCell ref="D36:E36"/>
    <mergeCell ref="D37:E37"/>
    <mergeCell ref="A38:D38"/>
    <mergeCell ref="E38:F38"/>
    <mergeCell ref="D29:E29"/>
    <mergeCell ref="D30:E30"/>
    <mergeCell ref="D32:E32"/>
    <mergeCell ref="D33:E33"/>
    <mergeCell ref="D24:E24"/>
    <mergeCell ref="D25:E25"/>
    <mergeCell ref="D26:E26"/>
    <mergeCell ref="D27:E27"/>
    <mergeCell ref="D19:E19"/>
    <mergeCell ref="D20:E20"/>
    <mergeCell ref="A21:D21"/>
    <mergeCell ref="E21:F21"/>
    <mergeCell ref="D22:E22"/>
    <mergeCell ref="D23:E23"/>
    <mergeCell ref="D15:E15"/>
    <mergeCell ref="D16:E16"/>
    <mergeCell ref="A17:D17"/>
    <mergeCell ref="E17:F17"/>
    <mergeCell ref="A18:D18"/>
    <mergeCell ref="E18:F18"/>
    <mergeCell ref="A11:D11"/>
    <mergeCell ref="E11:F11"/>
    <mergeCell ref="A12:D12"/>
    <mergeCell ref="E12:F12"/>
    <mergeCell ref="A6:F6"/>
    <mergeCell ref="A7:F7"/>
    <mergeCell ref="D8:E8"/>
    <mergeCell ref="D9:E9"/>
    <mergeCell ref="A10:D10"/>
    <mergeCell ref="E10:F10"/>
    <mergeCell ref="D2:E2"/>
    <mergeCell ref="D3:E3"/>
    <mergeCell ref="A4:A5"/>
    <mergeCell ref="B4:B5"/>
    <mergeCell ref="C4:C5"/>
    <mergeCell ref="D4:E4"/>
    <mergeCell ref="D5:E5"/>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Lapas22"/>
  <dimension ref="A1"/>
  <sheetViews>
    <sheetView workbookViewId="0"/>
  </sheetViews>
  <sheetFormatPr defaultRowHeight="12.45"/>
  <sheetData/>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Lapas23"/>
  <dimension ref="A1"/>
  <sheetViews>
    <sheetView workbookViewId="0"/>
  </sheetViews>
  <sheetFormatPr defaultRowHeight="12.45"/>
  <sheetData/>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Lapas24"/>
  <dimension ref="A1:P431"/>
  <sheetViews>
    <sheetView zoomScale="105" zoomScaleNormal="105" workbookViewId="0">
      <pane ySplit="4" topLeftCell="A155" activePane="bottomLeft" state="frozen"/>
      <selection pane="bottomLeft" activeCell="N120" sqref="N120"/>
    </sheetView>
  </sheetViews>
  <sheetFormatPr defaultColWidth="11.53515625" defaultRowHeight="12.45"/>
  <cols>
    <col min="1" max="1" width="70.3828125" customWidth="1"/>
    <col min="2" max="2" width="0" hidden="1" customWidth="1"/>
    <col min="3" max="3" width="15.15234375" customWidth="1"/>
    <col min="4" max="4" width="0" hidden="1" customWidth="1"/>
    <col min="5" max="5" width="12.53515625" customWidth="1"/>
    <col min="6" max="6" width="11.53515625" hidden="1" customWidth="1"/>
    <col min="7" max="8" width="0" style="1" hidden="1" customWidth="1"/>
    <col min="9" max="11" width="11.53515625" style="1"/>
    <col min="12" max="12" width="16.3828125" customWidth="1"/>
  </cols>
  <sheetData>
    <row r="1" spans="1:11" ht="24" customHeight="1">
      <c r="A1" s="2403" t="s">
        <v>849</v>
      </c>
      <c r="B1" s="2403"/>
      <c r="C1" s="2403"/>
      <c r="D1" s="2403"/>
      <c r="E1" s="2403"/>
      <c r="F1" s="2403"/>
      <c r="G1" s="2403"/>
      <c r="H1" s="2403"/>
      <c r="I1" s="2403"/>
      <c r="J1" s="2403"/>
      <c r="K1" s="2"/>
    </row>
    <row r="2" spans="1:11">
      <c r="A2" s="2"/>
      <c r="B2" s="2"/>
      <c r="C2" s="2"/>
      <c r="D2" s="2"/>
      <c r="E2" s="2"/>
      <c r="F2" s="2"/>
      <c r="G2" s="39"/>
      <c r="H2" s="39"/>
      <c r="I2" s="39"/>
      <c r="J2" s="39"/>
      <c r="K2" s="39"/>
    </row>
    <row r="3" spans="1:11">
      <c r="G3" s="31"/>
      <c r="H3" s="28"/>
      <c r="I3" s="28"/>
      <c r="J3" s="28" t="s">
        <v>677</v>
      </c>
      <c r="K3" s="28"/>
    </row>
    <row r="4" spans="1:11" ht="41.25" customHeight="1">
      <c r="A4" s="224" t="s">
        <v>308</v>
      </c>
      <c r="B4" s="224" t="s">
        <v>706</v>
      </c>
      <c r="C4" s="224" t="s">
        <v>707</v>
      </c>
      <c r="D4" s="224" t="s">
        <v>708</v>
      </c>
      <c r="E4" s="224" t="s">
        <v>175</v>
      </c>
      <c r="F4" s="224" t="s">
        <v>176</v>
      </c>
      <c r="G4" s="224" t="s">
        <v>177</v>
      </c>
      <c r="H4" s="224" t="s">
        <v>145</v>
      </c>
      <c r="I4" s="224" t="s">
        <v>354</v>
      </c>
      <c r="J4" s="224" t="s">
        <v>401</v>
      </c>
      <c r="K4" s="224" t="s">
        <v>406</v>
      </c>
    </row>
    <row r="5" spans="1:11" ht="12.75" customHeight="1">
      <c r="A5" s="225" t="s">
        <v>697</v>
      </c>
      <c r="B5" s="226"/>
      <c r="C5" s="226"/>
      <c r="D5" s="226"/>
      <c r="E5" s="226"/>
      <c r="F5" s="226"/>
      <c r="G5" s="226"/>
      <c r="H5" s="226"/>
      <c r="I5" s="226"/>
      <c r="J5" s="226"/>
      <c r="K5" s="229"/>
    </row>
    <row r="6" spans="1:11" ht="12.75" customHeight="1">
      <c r="A6" s="227" t="s">
        <v>698</v>
      </c>
      <c r="B6" s="228"/>
      <c r="C6" s="228"/>
      <c r="D6" s="228"/>
      <c r="E6" s="228"/>
      <c r="F6" s="228"/>
      <c r="G6" s="228"/>
      <c r="H6" s="228"/>
      <c r="I6" s="228"/>
      <c r="J6" s="228"/>
      <c r="K6" s="230"/>
    </row>
    <row r="7" spans="1:11" ht="17.25" customHeight="1">
      <c r="A7" s="164" t="s">
        <v>699</v>
      </c>
      <c r="B7" s="164"/>
      <c r="C7" s="162" t="s">
        <v>455</v>
      </c>
      <c r="D7" s="135"/>
      <c r="E7" s="136" t="s">
        <v>456</v>
      </c>
      <c r="F7" s="137">
        <v>75</v>
      </c>
      <c r="G7" s="137">
        <v>65</v>
      </c>
      <c r="H7" s="137">
        <v>80</v>
      </c>
      <c r="I7" s="137">
        <v>85</v>
      </c>
      <c r="J7" s="165">
        <v>85</v>
      </c>
      <c r="K7" s="263">
        <v>85</v>
      </c>
    </row>
    <row r="8" spans="1:11" ht="17.25" customHeight="1">
      <c r="A8" s="231" t="s">
        <v>843</v>
      </c>
      <c r="B8" s="231"/>
      <c r="C8" s="152" t="s">
        <v>844</v>
      </c>
      <c r="D8" s="133"/>
      <c r="E8" s="153" t="s">
        <v>249</v>
      </c>
      <c r="F8" s="154" t="s">
        <v>845</v>
      </c>
      <c r="G8" s="154" t="s">
        <v>845</v>
      </c>
      <c r="H8" s="154" t="s">
        <v>845</v>
      </c>
      <c r="I8" s="154" t="s">
        <v>845</v>
      </c>
      <c r="J8" s="149" t="s">
        <v>845</v>
      </c>
      <c r="K8" s="264" t="s">
        <v>845</v>
      </c>
    </row>
    <row r="9" spans="1:11" ht="23.9" customHeight="1">
      <c r="A9" s="2404" t="s">
        <v>434</v>
      </c>
      <c r="B9" s="2405"/>
      <c r="C9" s="2405"/>
      <c r="D9" s="2405"/>
      <c r="E9" s="2405"/>
      <c r="F9" s="2405"/>
      <c r="G9" s="2405"/>
      <c r="H9" s="2405"/>
      <c r="I9" s="2405"/>
      <c r="J9" s="2406"/>
      <c r="K9" s="232"/>
    </row>
    <row r="10" spans="1:11" ht="12.75" customHeight="1">
      <c r="A10" s="2414" t="s">
        <v>280</v>
      </c>
      <c r="B10" s="2415"/>
      <c r="C10" s="2415"/>
      <c r="D10" s="2415"/>
      <c r="E10" s="2415"/>
      <c r="F10" s="2415"/>
      <c r="G10" s="2415"/>
      <c r="H10" s="2415"/>
      <c r="I10" s="2415"/>
      <c r="J10" s="2416"/>
      <c r="K10" s="234"/>
    </row>
    <row r="11" spans="1:11" ht="12.75" customHeight="1">
      <c r="A11" s="2414" t="s">
        <v>281</v>
      </c>
      <c r="B11" s="2415"/>
      <c r="C11" s="2415"/>
      <c r="D11" s="2415"/>
      <c r="E11" s="2415"/>
      <c r="F11" s="2415"/>
      <c r="G11" s="2415"/>
      <c r="H11" s="2415"/>
      <c r="I11" s="2415"/>
      <c r="J11" s="2416"/>
      <c r="K11" s="234"/>
    </row>
    <row r="12" spans="1:11" ht="14.25" customHeight="1">
      <c r="A12" s="134" t="s">
        <v>218</v>
      </c>
      <c r="B12" s="134"/>
      <c r="C12" s="162" t="s">
        <v>282</v>
      </c>
      <c r="D12" s="135"/>
      <c r="E12" s="233" t="s">
        <v>283</v>
      </c>
      <c r="F12" s="137">
        <v>230</v>
      </c>
      <c r="G12" s="137">
        <v>150</v>
      </c>
      <c r="H12" s="137">
        <v>230</v>
      </c>
      <c r="I12" s="137">
        <v>230</v>
      </c>
      <c r="J12" s="165">
        <v>230</v>
      </c>
      <c r="K12" s="143">
        <v>230</v>
      </c>
    </row>
    <row r="13" spans="1:11" ht="17.25" customHeight="1">
      <c r="A13" s="10" t="s">
        <v>684</v>
      </c>
      <c r="B13" s="10"/>
      <c r="C13" s="4" t="s">
        <v>247</v>
      </c>
      <c r="D13" s="5"/>
      <c r="E13" s="6" t="s">
        <v>283</v>
      </c>
      <c r="F13" s="7">
        <v>1300</v>
      </c>
      <c r="G13" s="7">
        <v>1150</v>
      </c>
      <c r="H13" s="7">
        <v>1400</v>
      </c>
      <c r="I13" s="7">
        <v>1400</v>
      </c>
      <c r="J13" s="142">
        <v>1400</v>
      </c>
      <c r="K13" s="143">
        <v>1400</v>
      </c>
    </row>
    <row r="14" spans="1:11" ht="25.75">
      <c r="A14" s="10" t="s">
        <v>111</v>
      </c>
      <c r="B14" s="10"/>
      <c r="C14" s="4" t="s">
        <v>112</v>
      </c>
      <c r="D14" s="5"/>
      <c r="E14" s="6" t="s">
        <v>456</v>
      </c>
      <c r="F14" s="7">
        <v>100</v>
      </c>
      <c r="G14" s="7">
        <v>100</v>
      </c>
      <c r="H14" s="7">
        <v>100</v>
      </c>
      <c r="I14" s="7">
        <v>100</v>
      </c>
      <c r="J14" s="142">
        <v>100</v>
      </c>
      <c r="K14" s="143">
        <v>100</v>
      </c>
    </row>
    <row r="15" spans="1:11" ht="14.25" customHeight="1">
      <c r="A15" s="236" t="s">
        <v>601</v>
      </c>
      <c r="B15" s="236"/>
      <c r="C15" s="152" t="s">
        <v>600</v>
      </c>
      <c r="D15" s="133"/>
      <c r="E15" s="153" t="s">
        <v>456</v>
      </c>
      <c r="F15" s="154"/>
      <c r="G15" s="154">
        <v>75</v>
      </c>
      <c r="H15" s="154">
        <v>75</v>
      </c>
      <c r="I15" s="154">
        <v>75</v>
      </c>
      <c r="J15" s="149">
        <v>75</v>
      </c>
      <c r="K15" s="143">
        <v>75</v>
      </c>
    </row>
    <row r="16" spans="1:11" ht="12.75" customHeight="1">
      <c r="A16" s="2417" t="s">
        <v>113</v>
      </c>
      <c r="B16" s="2418"/>
      <c r="C16" s="2418"/>
      <c r="D16" s="2418"/>
      <c r="E16" s="2418"/>
      <c r="F16" s="2418"/>
      <c r="G16" s="2418"/>
      <c r="H16" s="2418"/>
      <c r="I16" s="2418"/>
      <c r="J16" s="2419"/>
      <c r="K16" s="239"/>
    </row>
    <row r="17" spans="1:11" ht="12.75" customHeight="1">
      <c r="A17" s="2420" t="s">
        <v>114</v>
      </c>
      <c r="B17" s="2421"/>
      <c r="C17" s="2421"/>
      <c r="D17" s="2421"/>
      <c r="E17" s="2421"/>
      <c r="F17" s="2421"/>
      <c r="G17" s="2421"/>
      <c r="H17" s="2421"/>
      <c r="I17" s="2421"/>
      <c r="J17" s="2422"/>
      <c r="K17" s="240"/>
    </row>
    <row r="18" spans="1:11" ht="12.75" hidden="1" customHeight="1">
      <c r="A18" s="237"/>
      <c r="B18" s="237"/>
      <c r="C18" s="237"/>
      <c r="D18" s="237"/>
      <c r="E18" s="237"/>
      <c r="F18" s="237"/>
      <c r="G18" s="237"/>
      <c r="H18" s="237"/>
      <c r="I18" s="237"/>
      <c r="J18" s="238"/>
      <c r="K18" s="235"/>
    </row>
    <row r="19" spans="1:11" ht="13.5" customHeight="1">
      <c r="A19" s="11" t="s">
        <v>120</v>
      </c>
      <c r="B19" s="11"/>
      <c r="C19" s="4" t="s">
        <v>689</v>
      </c>
      <c r="D19" s="33"/>
      <c r="E19" s="6" t="s">
        <v>283</v>
      </c>
      <c r="F19" s="7">
        <v>4</v>
      </c>
      <c r="G19" s="7">
        <v>4</v>
      </c>
      <c r="H19" s="7">
        <v>4</v>
      </c>
      <c r="I19" s="7">
        <v>4</v>
      </c>
      <c r="J19" s="142">
        <v>4</v>
      </c>
      <c r="K19" s="143"/>
    </row>
    <row r="20" spans="1:11" ht="13.5" customHeight="1">
      <c r="A20" s="11" t="s">
        <v>687</v>
      </c>
      <c r="B20" s="11" t="s">
        <v>395</v>
      </c>
      <c r="C20" s="4" t="s">
        <v>396</v>
      </c>
      <c r="D20" s="33"/>
      <c r="E20" s="6" t="s">
        <v>283</v>
      </c>
      <c r="F20" s="7">
        <v>500</v>
      </c>
      <c r="G20" s="7">
        <v>400</v>
      </c>
      <c r="H20" s="7">
        <v>500</v>
      </c>
      <c r="I20" s="7">
        <v>500</v>
      </c>
      <c r="J20" s="142">
        <v>500</v>
      </c>
      <c r="K20" s="143">
        <v>500</v>
      </c>
    </row>
    <row r="21" spans="1:11" ht="12.75" customHeight="1">
      <c r="A21" s="2407" t="s">
        <v>453</v>
      </c>
      <c r="B21" s="2407"/>
      <c r="C21" s="2407"/>
      <c r="D21" s="2407"/>
      <c r="E21" s="2407"/>
      <c r="F21" s="2407"/>
      <c r="G21" s="2407"/>
      <c r="H21" s="2407"/>
      <c r="I21" s="2407"/>
      <c r="J21" s="2408"/>
      <c r="K21" s="189"/>
    </row>
    <row r="22" spans="1:11" ht="27" customHeight="1">
      <c r="A22" s="16" t="s">
        <v>220</v>
      </c>
      <c r="B22" s="11"/>
      <c r="C22" s="4" t="s">
        <v>415</v>
      </c>
      <c r="D22" s="33"/>
      <c r="E22" s="34" t="s">
        <v>283</v>
      </c>
      <c r="F22" s="7">
        <v>60</v>
      </c>
      <c r="G22" s="4">
        <v>70</v>
      </c>
      <c r="H22" s="4">
        <v>90</v>
      </c>
      <c r="I22" s="4">
        <v>95</v>
      </c>
      <c r="J22" s="167">
        <v>100</v>
      </c>
      <c r="K22" s="265">
        <v>100</v>
      </c>
    </row>
    <row r="23" spans="1:11" ht="15.75" customHeight="1">
      <c r="A23" s="11" t="s">
        <v>479</v>
      </c>
      <c r="B23" s="11"/>
      <c r="C23" s="4" t="s">
        <v>386</v>
      </c>
      <c r="D23" s="33"/>
      <c r="E23" s="6" t="s">
        <v>283</v>
      </c>
      <c r="F23" s="7">
        <v>1200</v>
      </c>
      <c r="G23" s="4">
        <v>1200</v>
      </c>
      <c r="H23" s="4">
        <v>1200</v>
      </c>
      <c r="I23" s="4">
        <v>1200</v>
      </c>
      <c r="J23" s="167">
        <v>1200</v>
      </c>
      <c r="K23" s="266">
        <v>1200</v>
      </c>
    </row>
    <row r="24" spans="1:11" ht="17.25" customHeight="1">
      <c r="A24" s="12" t="s">
        <v>812</v>
      </c>
      <c r="B24" s="11"/>
      <c r="C24" s="4" t="s">
        <v>387</v>
      </c>
      <c r="D24" s="33"/>
      <c r="E24" s="6" t="s">
        <v>283</v>
      </c>
      <c r="F24" s="7" t="s">
        <v>388</v>
      </c>
      <c r="G24" s="4">
        <v>4800</v>
      </c>
      <c r="H24" s="4">
        <v>5500</v>
      </c>
      <c r="I24" s="4">
        <v>5500</v>
      </c>
      <c r="J24" s="167">
        <v>5500</v>
      </c>
      <c r="K24" s="266">
        <v>5500</v>
      </c>
    </row>
    <row r="25" spans="1:11" ht="15.75" customHeight="1">
      <c r="A25" s="11" t="s">
        <v>389</v>
      </c>
      <c r="B25" s="11"/>
      <c r="C25" s="4" t="s">
        <v>390</v>
      </c>
      <c r="D25" s="33"/>
      <c r="E25" s="6" t="s">
        <v>283</v>
      </c>
      <c r="F25" s="7" t="s">
        <v>578</v>
      </c>
      <c r="G25" s="4">
        <v>1250</v>
      </c>
      <c r="H25" s="4">
        <v>1220</v>
      </c>
      <c r="I25" s="4">
        <v>1220</v>
      </c>
      <c r="J25" s="167">
        <v>1220</v>
      </c>
      <c r="K25" s="266">
        <v>1220</v>
      </c>
    </row>
    <row r="26" spans="1:11" ht="15" customHeight="1">
      <c r="A26" s="11" t="s">
        <v>649</v>
      </c>
      <c r="B26" s="11"/>
      <c r="C26" s="4" t="s">
        <v>650</v>
      </c>
      <c r="D26" s="33"/>
      <c r="E26" s="6" t="s">
        <v>283</v>
      </c>
      <c r="F26" s="7">
        <v>450</v>
      </c>
      <c r="G26" s="4">
        <v>420</v>
      </c>
      <c r="H26" s="4">
        <v>600</v>
      </c>
      <c r="I26" s="4">
        <v>600</v>
      </c>
      <c r="J26" s="167">
        <v>600</v>
      </c>
      <c r="K26" s="266">
        <v>600</v>
      </c>
    </row>
    <row r="27" spans="1:11" ht="15" customHeight="1">
      <c r="A27" s="11" t="s">
        <v>813</v>
      </c>
      <c r="B27" s="11"/>
      <c r="C27" s="4" t="s">
        <v>520</v>
      </c>
      <c r="D27" s="33"/>
      <c r="E27" s="6" t="s">
        <v>283</v>
      </c>
      <c r="F27" s="7"/>
      <c r="G27" s="4"/>
      <c r="H27" s="4">
        <v>0</v>
      </c>
      <c r="I27" s="4">
        <v>0</v>
      </c>
      <c r="J27" s="167">
        <v>0</v>
      </c>
      <c r="K27" s="267">
        <v>0</v>
      </c>
    </row>
    <row r="28" spans="1:11" ht="12.75" customHeight="1">
      <c r="A28" s="2407" t="s">
        <v>72</v>
      </c>
      <c r="B28" s="2407"/>
      <c r="C28" s="2407"/>
      <c r="D28" s="2407"/>
      <c r="E28" s="2407"/>
      <c r="F28" s="2407"/>
      <c r="G28" s="2407"/>
      <c r="H28" s="2407"/>
      <c r="I28" s="2407"/>
      <c r="J28" s="2408"/>
      <c r="K28" s="189"/>
    </row>
    <row r="29" spans="1:11" ht="15.75" customHeight="1">
      <c r="A29" s="11" t="s">
        <v>685</v>
      </c>
      <c r="B29" s="11"/>
      <c r="C29" s="4" t="s">
        <v>73</v>
      </c>
      <c r="D29" s="33"/>
      <c r="E29" s="6" t="s">
        <v>283</v>
      </c>
      <c r="F29" s="7">
        <v>10</v>
      </c>
      <c r="G29" s="7">
        <v>10</v>
      </c>
      <c r="H29" s="7">
        <v>10</v>
      </c>
      <c r="I29" s="7">
        <v>10</v>
      </c>
      <c r="J29" s="142">
        <v>10</v>
      </c>
      <c r="K29" s="268">
        <v>10</v>
      </c>
    </row>
    <row r="30" spans="1:11" ht="14.25" customHeight="1">
      <c r="A30" s="11" t="s">
        <v>74</v>
      </c>
      <c r="B30" s="11"/>
      <c r="C30" s="4" t="s">
        <v>465</v>
      </c>
      <c r="D30" s="33"/>
      <c r="E30" s="6" t="s">
        <v>283</v>
      </c>
      <c r="F30" s="7">
        <v>3</v>
      </c>
      <c r="G30" s="7">
        <v>3</v>
      </c>
      <c r="H30" s="7">
        <v>3</v>
      </c>
      <c r="I30" s="7">
        <v>3</v>
      </c>
      <c r="J30" s="142">
        <v>3</v>
      </c>
      <c r="K30" s="268">
        <v>3</v>
      </c>
    </row>
    <row r="31" spans="1:11" ht="12.75" customHeight="1">
      <c r="A31" s="2407" t="s">
        <v>579</v>
      </c>
      <c r="B31" s="2407"/>
      <c r="C31" s="2407"/>
      <c r="D31" s="2407"/>
      <c r="E31" s="2407"/>
      <c r="F31" s="2407"/>
      <c r="G31" s="2407"/>
      <c r="H31" s="2407"/>
      <c r="I31" s="2407"/>
      <c r="J31" s="2408"/>
      <c r="K31" s="189"/>
    </row>
    <row r="32" spans="1:11" ht="12.75" customHeight="1">
      <c r="A32" s="11" t="s">
        <v>749</v>
      </c>
      <c r="B32" s="11"/>
      <c r="C32" s="4" t="s">
        <v>750</v>
      </c>
      <c r="D32" s="33"/>
      <c r="E32" s="6" t="s">
        <v>456</v>
      </c>
      <c r="F32" s="7">
        <v>80</v>
      </c>
      <c r="G32" s="7">
        <v>80</v>
      </c>
      <c r="H32" s="7">
        <v>80</v>
      </c>
      <c r="I32" s="7">
        <v>80</v>
      </c>
      <c r="J32" s="142">
        <v>80</v>
      </c>
      <c r="K32" s="268">
        <v>80</v>
      </c>
    </row>
    <row r="33" spans="1:13" ht="27" customHeight="1">
      <c r="A33" s="12" t="s">
        <v>126</v>
      </c>
      <c r="B33" s="11"/>
      <c r="C33" s="4" t="s">
        <v>574</v>
      </c>
      <c r="D33" s="33"/>
      <c r="E33" s="6" t="s">
        <v>456</v>
      </c>
      <c r="F33" s="7">
        <v>100</v>
      </c>
      <c r="G33" s="7">
        <v>100</v>
      </c>
      <c r="H33" s="7">
        <v>100</v>
      </c>
      <c r="I33" s="7">
        <v>100</v>
      </c>
      <c r="J33" s="142">
        <v>100</v>
      </c>
      <c r="K33" s="268">
        <v>100</v>
      </c>
    </row>
    <row r="34" spans="1:13" ht="15" customHeight="1">
      <c r="A34" s="43" t="s">
        <v>315</v>
      </c>
      <c r="B34" s="241"/>
      <c r="C34" s="152" t="s">
        <v>316</v>
      </c>
      <c r="D34" s="242"/>
      <c r="E34" s="153" t="s">
        <v>456</v>
      </c>
      <c r="F34" s="154">
        <v>100</v>
      </c>
      <c r="G34" s="154">
        <v>100</v>
      </c>
      <c r="H34" s="154">
        <v>100</v>
      </c>
      <c r="I34" s="154">
        <v>100</v>
      </c>
      <c r="J34" s="149">
        <v>100</v>
      </c>
      <c r="K34" s="269">
        <v>100</v>
      </c>
    </row>
    <row r="35" spans="1:13" ht="12.9">
      <c r="A35" s="2409" t="s">
        <v>751</v>
      </c>
      <c r="B35" s="2410"/>
      <c r="C35" s="2410"/>
      <c r="D35" s="2410"/>
      <c r="E35" s="2410"/>
      <c r="F35" s="2410"/>
      <c r="G35" s="2410"/>
      <c r="H35" s="2410"/>
      <c r="I35" s="2410"/>
      <c r="J35" s="2410"/>
      <c r="K35" s="189"/>
    </row>
    <row r="36" spans="1:13" ht="15.75" customHeight="1">
      <c r="A36" s="243" t="s">
        <v>33</v>
      </c>
      <c r="B36" s="243"/>
      <c r="C36" s="162" t="s">
        <v>34</v>
      </c>
      <c r="D36" s="244"/>
      <c r="E36" s="136" t="s">
        <v>35</v>
      </c>
      <c r="F36" s="137">
        <v>100</v>
      </c>
      <c r="G36" s="137">
        <v>40</v>
      </c>
      <c r="H36" s="137">
        <v>70</v>
      </c>
      <c r="I36" s="137">
        <v>90</v>
      </c>
      <c r="J36" s="165">
        <v>100</v>
      </c>
      <c r="K36" s="270">
        <v>100</v>
      </c>
    </row>
    <row r="37" spans="1:13" ht="15.75" customHeight="1">
      <c r="A37" s="241" t="s">
        <v>23</v>
      </c>
      <c r="B37" s="241"/>
      <c r="C37" s="152" t="s">
        <v>22</v>
      </c>
      <c r="D37" s="242"/>
      <c r="E37" s="245" t="s">
        <v>24</v>
      </c>
      <c r="F37" s="154"/>
      <c r="G37" s="154"/>
      <c r="H37" s="154">
        <v>30</v>
      </c>
      <c r="I37" s="154">
        <v>30</v>
      </c>
      <c r="J37" s="149">
        <v>30</v>
      </c>
      <c r="K37" s="264">
        <v>30</v>
      </c>
    </row>
    <row r="38" spans="1:13" ht="25.75" customHeight="1">
      <c r="A38" s="2382" t="s">
        <v>170</v>
      </c>
      <c r="B38" s="2383"/>
      <c r="C38" s="2383"/>
      <c r="D38" s="2383"/>
      <c r="E38" s="2383"/>
      <c r="F38" s="2383"/>
      <c r="G38" s="2383"/>
      <c r="H38" s="2383"/>
      <c r="I38" s="2383"/>
      <c r="J38" s="2383"/>
      <c r="K38" s="205"/>
      <c r="M38" t="s">
        <v>127</v>
      </c>
    </row>
    <row r="39" spans="1:13" ht="12.75" customHeight="1">
      <c r="A39" s="2386" t="s">
        <v>281</v>
      </c>
      <c r="B39" s="2387"/>
      <c r="C39" s="2387"/>
      <c r="D39" s="2387"/>
      <c r="E39" s="2387"/>
      <c r="F39" s="2387"/>
      <c r="G39" s="2387"/>
      <c r="H39" s="2387"/>
      <c r="I39" s="2387"/>
      <c r="J39" s="2387"/>
      <c r="K39" s="234"/>
    </row>
    <row r="40" spans="1:13" ht="12.9">
      <c r="A40" s="246" t="s">
        <v>438</v>
      </c>
      <c r="B40" s="246"/>
      <c r="C40" s="162" t="s">
        <v>439</v>
      </c>
      <c r="D40" s="135"/>
      <c r="E40" s="136" t="s">
        <v>456</v>
      </c>
      <c r="F40" s="137">
        <v>65</v>
      </c>
      <c r="G40" s="137">
        <v>50</v>
      </c>
      <c r="H40" s="137">
        <v>50</v>
      </c>
      <c r="I40" s="137">
        <v>50</v>
      </c>
      <c r="J40" s="165">
        <v>50</v>
      </c>
      <c r="K40" s="263">
        <v>50</v>
      </c>
    </row>
    <row r="41" spans="1:13" ht="16.5" customHeight="1">
      <c r="A41" s="247" t="s">
        <v>440</v>
      </c>
      <c r="B41" s="247"/>
      <c r="C41" s="152" t="s">
        <v>441</v>
      </c>
      <c r="D41" s="133"/>
      <c r="E41" s="153" t="s">
        <v>283</v>
      </c>
      <c r="F41" s="154">
        <v>350</v>
      </c>
      <c r="G41" s="154">
        <v>250</v>
      </c>
      <c r="H41" s="154">
        <v>320</v>
      </c>
      <c r="I41" s="154">
        <v>330</v>
      </c>
      <c r="J41" s="149">
        <v>330</v>
      </c>
      <c r="K41" s="269">
        <v>330</v>
      </c>
    </row>
    <row r="42" spans="1:13">
      <c r="A42" s="2377" t="s">
        <v>113</v>
      </c>
      <c r="B42" s="2378"/>
      <c r="C42" s="2378"/>
      <c r="D42" s="2378"/>
      <c r="E42" s="2378"/>
      <c r="F42" s="2378"/>
      <c r="G42" s="2378"/>
      <c r="H42" s="2378"/>
      <c r="I42" s="2378"/>
      <c r="J42" s="2378"/>
      <c r="K42" s="271"/>
    </row>
    <row r="43" spans="1:13" ht="12.9">
      <c r="A43" s="2409" t="s">
        <v>487</v>
      </c>
      <c r="B43" s="2410"/>
      <c r="C43" s="2410"/>
      <c r="D43" s="2410"/>
      <c r="E43" s="2410"/>
      <c r="F43" s="2410"/>
      <c r="G43" s="2410"/>
      <c r="H43" s="2410"/>
      <c r="I43" s="2410"/>
      <c r="J43" s="2410"/>
      <c r="K43" s="189"/>
    </row>
    <row r="44" spans="1:13" ht="12.9">
      <c r="A44" s="211" t="s">
        <v>602</v>
      </c>
      <c r="B44" s="211"/>
      <c r="C44" s="162" t="s">
        <v>538</v>
      </c>
      <c r="D44" s="135"/>
      <c r="E44" s="249" t="s">
        <v>539</v>
      </c>
      <c r="F44" s="137">
        <v>70</v>
      </c>
      <c r="G44" s="137">
        <v>60</v>
      </c>
      <c r="H44" s="137">
        <v>60</v>
      </c>
      <c r="I44" s="137">
        <v>60</v>
      </c>
      <c r="J44" s="165">
        <v>60</v>
      </c>
      <c r="K44" s="270">
        <v>60</v>
      </c>
    </row>
    <row r="45" spans="1:13" ht="12.9">
      <c r="A45" s="2407" t="s">
        <v>348</v>
      </c>
      <c r="B45" s="2407"/>
      <c r="C45" s="2407"/>
      <c r="D45" s="2407"/>
      <c r="E45" s="2407"/>
      <c r="F45" s="2407"/>
      <c r="G45" s="2407"/>
      <c r="H45" s="2407"/>
      <c r="I45" s="2407"/>
      <c r="J45" s="2408"/>
      <c r="K45" s="189"/>
    </row>
    <row r="46" spans="1:13" ht="12.9">
      <c r="A46" s="12" t="s">
        <v>814</v>
      </c>
      <c r="B46" s="12"/>
      <c r="C46" s="4" t="s">
        <v>352</v>
      </c>
      <c r="D46" s="5"/>
      <c r="E46" s="13" t="s">
        <v>283</v>
      </c>
      <c r="F46" s="7">
        <v>0</v>
      </c>
      <c r="G46" s="7">
        <v>1</v>
      </c>
      <c r="H46" s="7">
        <v>0</v>
      </c>
      <c r="I46" s="7">
        <v>1</v>
      </c>
      <c r="J46" s="142">
        <v>0</v>
      </c>
      <c r="K46" s="268">
        <v>0</v>
      </c>
      <c r="L46" s="31"/>
    </row>
    <row r="47" spans="1:13" ht="25.75">
      <c r="A47" s="12" t="s">
        <v>836</v>
      </c>
      <c r="B47" s="36"/>
      <c r="C47" s="4" t="s">
        <v>349</v>
      </c>
      <c r="D47" s="37"/>
      <c r="E47" s="34" t="s">
        <v>456</v>
      </c>
      <c r="F47" s="4"/>
      <c r="G47" s="4">
        <v>50</v>
      </c>
      <c r="H47" s="4">
        <v>60</v>
      </c>
      <c r="I47" s="4">
        <v>70</v>
      </c>
      <c r="J47" s="167">
        <v>60</v>
      </c>
      <c r="K47" s="266">
        <v>60</v>
      </c>
      <c r="L47" s="31"/>
    </row>
    <row r="48" spans="1:13" ht="12.9">
      <c r="A48" s="12" t="s">
        <v>57</v>
      </c>
      <c r="B48" s="36"/>
      <c r="C48" s="4" t="s">
        <v>350</v>
      </c>
      <c r="D48" s="37"/>
      <c r="E48" s="6" t="s">
        <v>283</v>
      </c>
      <c r="F48" s="7"/>
      <c r="G48" s="7"/>
      <c r="H48" s="7">
        <v>0</v>
      </c>
      <c r="I48" s="7">
        <v>2</v>
      </c>
      <c r="J48" s="142">
        <v>2</v>
      </c>
      <c r="K48" s="268">
        <v>2</v>
      </c>
      <c r="L48" s="31"/>
    </row>
    <row r="49" spans="1:16" ht="12.9">
      <c r="A49" s="2407" t="s">
        <v>837</v>
      </c>
      <c r="B49" s="2407"/>
      <c r="C49" s="2407"/>
      <c r="D49" s="2407"/>
      <c r="E49" s="2407"/>
      <c r="F49" s="2407"/>
      <c r="G49" s="2407"/>
      <c r="H49" s="2407"/>
      <c r="I49" s="2407"/>
      <c r="J49" s="2408"/>
      <c r="K49" s="189"/>
    </row>
    <row r="50" spans="1:16" ht="17.25" customHeight="1">
      <c r="A50" s="11" t="s">
        <v>686</v>
      </c>
      <c r="B50" s="11"/>
      <c r="C50" s="4" t="s">
        <v>838</v>
      </c>
      <c r="D50" s="5"/>
      <c r="E50" s="6" t="s">
        <v>283</v>
      </c>
      <c r="F50" s="7">
        <v>3</v>
      </c>
      <c r="G50" s="7">
        <v>4</v>
      </c>
      <c r="H50" s="7">
        <v>5</v>
      </c>
      <c r="I50" s="7">
        <v>4</v>
      </c>
      <c r="J50" s="142">
        <v>4</v>
      </c>
      <c r="K50" s="268">
        <v>4</v>
      </c>
    </row>
    <row r="51" spans="1:16" ht="17.25" customHeight="1">
      <c r="A51" s="11" t="s">
        <v>504</v>
      </c>
      <c r="B51" s="11"/>
      <c r="C51" s="4" t="s">
        <v>340</v>
      </c>
      <c r="D51" s="5"/>
      <c r="E51" s="6" t="s">
        <v>283</v>
      </c>
      <c r="F51" s="7"/>
      <c r="G51" s="7"/>
      <c r="H51" s="7">
        <v>1</v>
      </c>
      <c r="I51" s="7">
        <v>1</v>
      </c>
      <c r="J51" s="142">
        <v>1</v>
      </c>
      <c r="K51" s="264">
        <v>1</v>
      </c>
    </row>
    <row r="52" spans="1:16" ht="26.25" customHeight="1">
      <c r="A52" s="2350" t="s">
        <v>528</v>
      </c>
      <c r="B52" s="2350"/>
      <c r="C52" s="2350"/>
      <c r="D52" s="2350"/>
      <c r="E52" s="2350"/>
      <c r="F52" s="2350"/>
      <c r="G52" s="2350"/>
      <c r="H52" s="2350"/>
      <c r="I52" s="2350"/>
      <c r="J52" s="2351"/>
      <c r="K52" s="190"/>
    </row>
    <row r="53" spans="1:16" ht="12.9">
      <c r="A53" s="11" t="s">
        <v>12</v>
      </c>
      <c r="B53" s="11"/>
      <c r="C53" s="4" t="s">
        <v>13</v>
      </c>
      <c r="D53" s="5"/>
      <c r="E53" s="6" t="s">
        <v>283</v>
      </c>
      <c r="F53" s="7">
        <v>7</v>
      </c>
      <c r="G53" s="7">
        <v>7</v>
      </c>
      <c r="H53" s="7">
        <v>9</v>
      </c>
      <c r="I53" s="7">
        <v>9</v>
      </c>
      <c r="J53" s="142">
        <v>10</v>
      </c>
      <c r="K53" s="263">
        <v>10</v>
      </c>
      <c r="N53" s="69"/>
      <c r="O53" s="69"/>
      <c r="P53" s="69"/>
    </row>
    <row r="54" spans="1:16" ht="12.9">
      <c r="A54" s="11" t="s">
        <v>407</v>
      </c>
      <c r="B54" s="11"/>
      <c r="C54" s="4" t="s">
        <v>739</v>
      </c>
      <c r="D54" s="5"/>
      <c r="E54" s="6" t="s">
        <v>283</v>
      </c>
      <c r="F54" s="7">
        <v>1</v>
      </c>
      <c r="G54" s="7" t="s">
        <v>408</v>
      </c>
      <c r="H54" s="7">
        <v>0</v>
      </c>
      <c r="I54" s="7">
        <v>1</v>
      </c>
      <c r="J54" s="142">
        <v>0</v>
      </c>
      <c r="K54" s="268">
        <v>0</v>
      </c>
      <c r="N54" s="69"/>
      <c r="O54" s="69"/>
      <c r="P54" s="69"/>
    </row>
    <row r="55" spans="1:16" ht="27.75" customHeight="1">
      <c r="A55" s="12" t="s">
        <v>815</v>
      </c>
      <c r="B55" s="12"/>
      <c r="C55" s="2423" t="s">
        <v>822</v>
      </c>
      <c r="D55" s="5"/>
      <c r="E55" s="2411" t="s">
        <v>283</v>
      </c>
      <c r="F55" s="7" t="s">
        <v>384</v>
      </c>
      <c r="G55" s="35">
        <v>1</v>
      </c>
      <c r="H55" s="4">
        <v>2</v>
      </c>
      <c r="I55" s="4">
        <v>2</v>
      </c>
      <c r="J55" s="167">
        <v>2</v>
      </c>
      <c r="K55" s="266">
        <v>2</v>
      </c>
      <c r="N55" s="69"/>
      <c r="O55" s="69"/>
      <c r="P55" s="69"/>
    </row>
    <row r="56" spans="1:16" ht="15" customHeight="1">
      <c r="A56" s="12" t="s">
        <v>62</v>
      </c>
      <c r="B56" s="12"/>
      <c r="C56" s="2424"/>
      <c r="D56" s="5"/>
      <c r="E56" s="2412"/>
      <c r="F56" s="7"/>
      <c r="G56" s="24">
        <v>5</v>
      </c>
      <c r="H56" s="7">
        <v>2</v>
      </c>
      <c r="I56" s="7">
        <v>2</v>
      </c>
      <c r="J56" s="142">
        <v>2</v>
      </c>
      <c r="K56" s="268">
        <v>2</v>
      </c>
      <c r="N56" s="69"/>
      <c r="O56" s="69"/>
      <c r="P56" s="69"/>
    </row>
    <row r="57" spans="1:16" ht="15" customHeight="1">
      <c r="A57" s="12" t="s">
        <v>28</v>
      </c>
      <c r="B57" s="12"/>
      <c r="C57" s="2424"/>
      <c r="D57" s="5"/>
      <c r="E57" s="2412"/>
      <c r="F57" s="7"/>
      <c r="G57" s="24">
        <v>3</v>
      </c>
      <c r="H57" s="7">
        <v>2</v>
      </c>
      <c r="I57" s="7">
        <v>2</v>
      </c>
      <c r="J57" s="142">
        <v>2</v>
      </c>
      <c r="K57" s="268">
        <v>2</v>
      </c>
      <c r="N57" s="69"/>
      <c r="O57" s="69"/>
      <c r="P57" s="69"/>
    </row>
    <row r="58" spans="1:16" ht="15" customHeight="1">
      <c r="A58" s="12" t="s">
        <v>643</v>
      </c>
      <c r="B58" s="12"/>
      <c r="C58" s="2425"/>
      <c r="D58" s="5"/>
      <c r="E58" s="2413"/>
      <c r="F58" s="7"/>
      <c r="G58" s="24" t="s">
        <v>409</v>
      </c>
      <c r="H58" s="7">
        <v>52</v>
      </c>
      <c r="I58" s="7">
        <v>52</v>
      </c>
      <c r="J58" s="142">
        <f>H58</f>
        <v>52</v>
      </c>
      <c r="K58" s="264">
        <f>I58</f>
        <v>52</v>
      </c>
      <c r="N58" s="69"/>
      <c r="O58" s="69"/>
      <c r="P58" s="69"/>
    </row>
    <row r="59" spans="1:16" ht="13.5" customHeight="1">
      <c r="A59" s="2344" t="s">
        <v>38</v>
      </c>
      <c r="B59" s="2344"/>
      <c r="C59" s="2344"/>
      <c r="D59" s="2344"/>
      <c r="E59" s="2344"/>
      <c r="F59" s="2344"/>
      <c r="G59" s="2344"/>
      <c r="H59" s="2344"/>
      <c r="I59" s="2344"/>
      <c r="J59" s="2345"/>
      <c r="K59" s="191"/>
    </row>
    <row r="60" spans="1:16" ht="13.5" customHeight="1">
      <c r="A60" s="2344" t="s">
        <v>698</v>
      </c>
      <c r="B60" s="2344"/>
      <c r="C60" s="2344"/>
      <c r="D60" s="2344"/>
      <c r="E60" s="2344"/>
      <c r="F60" s="2344"/>
      <c r="G60" s="2344"/>
      <c r="H60" s="2344"/>
      <c r="I60" s="2344"/>
      <c r="J60" s="2345"/>
      <c r="K60" s="191"/>
    </row>
    <row r="61" spans="1:16" ht="12.9">
      <c r="A61" s="126" t="s">
        <v>451</v>
      </c>
      <c r="B61" s="14"/>
      <c r="C61" s="4" t="s">
        <v>624</v>
      </c>
      <c r="D61" s="127"/>
      <c r="E61" s="34" t="s">
        <v>456</v>
      </c>
      <c r="F61" s="4">
        <v>68</v>
      </c>
      <c r="G61" s="4">
        <v>65</v>
      </c>
      <c r="H61" s="4">
        <v>66</v>
      </c>
      <c r="I61" s="4">
        <v>65</v>
      </c>
      <c r="J61" s="167">
        <v>65</v>
      </c>
      <c r="K61" s="156">
        <v>65</v>
      </c>
    </row>
    <row r="62" spans="1:16" ht="12.9">
      <c r="A62" s="126" t="s">
        <v>503</v>
      </c>
      <c r="B62" s="14"/>
      <c r="C62" s="4" t="s">
        <v>625</v>
      </c>
      <c r="D62" s="127"/>
      <c r="E62" s="34" t="s">
        <v>283</v>
      </c>
      <c r="F62" s="4">
        <v>15</v>
      </c>
      <c r="G62" s="4">
        <v>18</v>
      </c>
      <c r="H62" s="4">
        <v>21</v>
      </c>
      <c r="I62" s="4">
        <v>23</v>
      </c>
      <c r="J62" s="167">
        <v>25</v>
      </c>
      <c r="K62" s="156">
        <v>25</v>
      </c>
    </row>
    <row r="63" spans="1:16" ht="23.25" customHeight="1">
      <c r="A63" s="126" t="s">
        <v>825</v>
      </c>
      <c r="B63" s="14"/>
      <c r="C63" s="4" t="s">
        <v>626</v>
      </c>
      <c r="D63" s="127"/>
      <c r="E63" s="34" t="s">
        <v>456</v>
      </c>
      <c r="F63" s="128">
        <v>11</v>
      </c>
      <c r="G63" s="128">
        <v>13</v>
      </c>
      <c r="H63" s="128">
        <v>15</v>
      </c>
      <c r="I63" s="128">
        <v>16</v>
      </c>
      <c r="J63" s="168">
        <v>17</v>
      </c>
      <c r="K63" s="278">
        <v>17</v>
      </c>
      <c r="M63" s="29"/>
    </row>
    <row r="64" spans="1:16" ht="16.5" customHeight="1">
      <c r="A64" s="126" t="s">
        <v>635</v>
      </c>
      <c r="B64" s="14"/>
      <c r="C64" s="4" t="s">
        <v>472</v>
      </c>
      <c r="D64" s="127"/>
      <c r="E64" s="34" t="s">
        <v>283</v>
      </c>
      <c r="F64" s="128">
        <v>2</v>
      </c>
      <c r="G64" s="128">
        <v>16</v>
      </c>
      <c r="H64" s="128">
        <v>2</v>
      </c>
      <c r="I64" s="128">
        <v>2</v>
      </c>
      <c r="J64" s="168">
        <v>2</v>
      </c>
      <c r="K64" s="278">
        <v>2</v>
      </c>
      <c r="M64" s="29"/>
    </row>
    <row r="65" spans="1:12" ht="25.75">
      <c r="A65" s="126" t="s">
        <v>471</v>
      </c>
      <c r="B65" s="14"/>
      <c r="C65" s="4" t="s">
        <v>82</v>
      </c>
      <c r="D65" s="127"/>
      <c r="E65" s="34" t="s">
        <v>283</v>
      </c>
      <c r="F65" s="128">
        <f>F181+F187+F123</f>
        <v>31</v>
      </c>
      <c r="G65" s="128">
        <v>30</v>
      </c>
      <c r="H65" s="128">
        <v>35</v>
      </c>
      <c r="I65" s="128">
        <v>40</v>
      </c>
      <c r="J65" s="168">
        <v>40</v>
      </c>
      <c r="K65" s="278">
        <v>40</v>
      </c>
    </row>
    <row r="66" spans="1:12" ht="26.25" customHeight="1">
      <c r="A66" s="126" t="s">
        <v>81</v>
      </c>
      <c r="B66" s="14"/>
      <c r="C66" s="4" t="s">
        <v>119</v>
      </c>
      <c r="D66" s="129"/>
      <c r="E66" s="34" t="s">
        <v>283</v>
      </c>
      <c r="F66" s="128" t="s">
        <v>83</v>
      </c>
      <c r="G66" s="128" t="s">
        <v>84</v>
      </c>
      <c r="H66" s="128" t="s">
        <v>83</v>
      </c>
      <c r="I66" s="128" t="s">
        <v>83</v>
      </c>
      <c r="J66" s="168" t="s">
        <v>84</v>
      </c>
      <c r="K66" s="278" t="s">
        <v>84</v>
      </c>
    </row>
    <row r="67" spans="1:12" ht="13.5" customHeight="1">
      <c r="A67" s="126" t="s">
        <v>118</v>
      </c>
      <c r="B67" s="14"/>
      <c r="C67" s="4" t="s">
        <v>676</v>
      </c>
      <c r="D67" s="129"/>
      <c r="E67" s="34" t="s">
        <v>456</v>
      </c>
      <c r="F67" s="4">
        <v>7</v>
      </c>
      <c r="G67" s="4">
        <v>6.8</v>
      </c>
      <c r="H67" s="4">
        <v>6.7</v>
      </c>
      <c r="I67" s="4">
        <v>6.6</v>
      </c>
      <c r="J67" s="167">
        <v>6.5</v>
      </c>
      <c r="K67" s="156">
        <v>6.5</v>
      </c>
      <c r="L67" s="72"/>
    </row>
    <row r="68" spans="1:12" ht="13.5" customHeight="1">
      <c r="A68" s="126" t="s">
        <v>290</v>
      </c>
      <c r="B68" s="14"/>
      <c r="C68" s="4" t="s">
        <v>511</v>
      </c>
      <c r="D68" s="129"/>
      <c r="E68" s="34" t="s">
        <v>292</v>
      </c>
      <c r="F68" s="4"/>
      <c r="G68" s="4"/>
      <c r="H68" s="4" t="s">
        <v>293</v>
      </c>
      <c r="I68" s="4" t="s">
        <v>294</v>
      </c>
      <c r="J68" s="167" t="s">
        <v>295</v>
      </c>
      <c r="K68" s="156" t="s">
        <v>295</v>
      </c>
      <c r="L68" s="72"/>
    </row>
    <row r="69" spans="1:12" ht="24" customHeight="1">
      <c r="A69" s="126" t="s">
        <v>675</v>
      </c>
      <c r="B69" s="14"/>
      <c r="C69" s="4" t="s">
        <v>846</v>
      </c>
      <c r="D69" s="129"/>
      <c r="E69" s="34" t="s">
        <v>283</v>
      </c>
      <c r="F69" s="34" t="s">
        <v>654</v>
      </c>
      <c r="G69" s="34" t="s">
        <v>654</v>
      </c>
      <c r="H69" s="34" t="s">
        <v>654</v>
      </c>
      <c r="I69" s="34" t="s">
        <v>654</v>
      </c>
      <c r="J69" s="169" t="s">
        <v>654</v>
      </c>
      <c r="K69" s="279" t="s">
        <v>654</v>
      </c>
    </row>
    <row r="70" spans="1:12" ht="24.75" customHeight="1">
      <c r="A70" s="126" t="s">
        <v>510</v>
      </c>
      <c r="B70" s="14"/>
      <c r="C70" s="4" t="s">
        <v>291</v>
      </c>
      <c r="D70" s="129"/>
      <c r="E70" s="34" t="s">
        <v>283</v>
      </c>
      <c r="F70" s="34" t="s">
        <v>654</v>
      </c>
      <c r="G70" s="34" t="s">
        <v>654</v>
      </c>
      <c r="H70" s="34" t="s">
        <v>654</v>
      </c>
      <c r="I70" s="34" t="s">
        <v>654</v>
      </c>
      <c r="J70" s="169" t="s">
        <v>654</v>
      </c>
      <c r="K70" s="279" t="s">
        <v>654</v>
      </c>
    </row>
    <row r="71" spans="1:12" ht="22.4" customHeight="1">
      <c r="A71" s="2346" t="s">
        <v>416</v>
      </c>
      <c r="B71" s="2346"/>
      <c r="C71" s="2346"/>
      <c r="D71" s="2346"/>
      <c r="E71" s="2346"/>
      <c r="F71" s="2346"/>
      <c r="G71" s="2346"/>
      <c r="H71" s="2346"/>
      <c r="I71" s="2346"/>
      <c r="J71" s="2347"/>
      <c r="K71" s="186"/>
    </row>
    <row r="72" spans="1:12" ht="12.75" customHeight="1">
      <c r="A72" s="2348" t="s">
        <v>647</v>
      </c>
      <c r="B72" s="2348"/>
      <c r="C72" s="2348"/>
      <c r="D72" s="2348"/>
      <c r="E72" s="2348"/>
      <c r="F72" s="2348"/>
      <c r="G72" s="2348"/>
      <c r="H72" s="2348"/>
      <c r="I72" s="2348"/>
      <c r="J72" s="2349"/>
      <c r="K72" s="187"/>
    </row>
    <row r="73" spans="1:12" ht="12.75" customHeight="1">
      <c r="A73" s="2348" t="s">
        <v>281</v>
      </c>
      <c r="B73" s="2348"/>
      <c r="C73" s="2348"/>
      <c r="D73" s="2348"/>
      <c r="E73" s="2348"/>
      <c r="F73" s="2348"/>
      <c r="G73" s="2348"/>
      <c r="H73" s="2348"/>
      <c r="I73" s="2348"/>
      <c r="J73" s="2349"/>
      <c r="K73" s="187"/>
    </row>
    <row r="74" spans="1:12" ht="12.9">
      <c r="A74" s="8" t="s">
        <v>135</v>
      </c>
      <c r="B74" s="8"/>
      <c r="C74" s="15" t="s">
        <v>648</v>
      </c>
      <c r="D74" s="5"/>
      <c r="E74" s="6" t="s">
        <v>283</v>
      </c>
      <c r="F74" s="7">
        <v>157</v>
      </c>
      <c r="G74" s="7">
        <v>150</v>
      </c>
      <c r="H74" s="7">
        <v>155</v>
      </c>
      <c r="I74" s="7">
        <v>160</v>
      </c>
      <c r="J74" s="142">
        <v>165</v>
      </c>
      <c r="K74" s="143">
        <v>165</v>
      </c>
    </row>
    <row r="75" spans="1:12" ht="12.9">
      <c r="A75" s="10" t="s">
        <v>646</v>
      </c>
      <c r="B75" s="10"/>
      <c r="C75" s="15" t="s">
        <v>816</v>
      </c>
      <c r="D75" s="5"/>
      <c r="E75" s="6" t="s">
        <v>456</v>
      </c>
      <c r="F75" s="7">
        <v>98</v>
      </c>
      <c r="G75" s="7">
        <v>98</v>
      </c>
      <c r="H75" s="7">
        <v>98</v>
      </c>
      <c r="I75" s="7">
        <v>98</v>
      </c>
      <c r="J75" s="142">
        <v>98</v>
      </c>
      <c r="K75" s="143">
        <v>98</v>
      </c>
    </row>
    <row r="76" spans="1:12" ht="12.9">
      <c r="A76" s="10" t="s">
        <v>136</v>
      </c>
      <c r="B76" s="10"/>
      <c r="C76" s="15" t="s">
        <v>541</v>
      </c>
      <c r="D76" s="5"/>
      <c r="E76" s="6" t="s">
        <v>283</v>
      </c>
      <c r="F76" s="7">
        <v>98</v>
      </c>
      <c r="G76" s="7">
        <v>98</v>
      </c>
      <c r="H76" s="7">
        <v>98</v>
      </c>
      <c r="I76" s="7">
        <v>12</v>
      </c>
      <c r="J76" s="142">
        <v>14</v>
      </c>
      <c r="K76" s="143">
        <v>16</v>
      </c>
    </row>
    <row r="77" spans="1:12" ht="12.75" customHeight="1">
      <c r="A77" s="10" t="s">
        <v>540</v>
      </c>
      <c r="B77" s="10"/>
      <c r="C77" s="2376" t="s">
        <v>77</v>
      </c>
      <c r="D77" s="5"/>
      <c r="E77" s="6"/>
      <c r="F77" s="7"/>
      <c r="G77" s="40"/>
      <c r="H77" s="7"/>
      <c r="I77" s="7"/>
      <c r="J77" s="142"/>
      <c r="K77" s="143"/>
    </row>
    <row r="78" spans="1:12" ht="12.9">
      <c r="A78" s="10" t="s">
        <v>542</v>
      </c>
      <c r="B78" s="10"/>
      <c r="C78" s="2376"/>
      <c r="D78" s="5"/>
      <c r="E78" s="6" t="s">
        <v>456</v>
      </c>
      <c r="F78" s="7">
        <v>99</v>
      </c>
      <c r="G78" s="7">
        <v>99</v>
      </c>
      <c r="H78" s="7">
        <v>99</v>
      </c>
      <c r="I78" s="7">
        <v>99</v>
      </c>
      <c r="J78" s="142">
        <v>99</v>
      </c>
      <c r="K78" s="143">
        <v>99</v>
      </c>
    </row>
    <row r="79" spans="1:12" ht="12.9">
      <c r="A79" s="236" t="s">
        <v>76</v>
      </c>
      <c r="B79" s="236"/>
      <c r="C79" s="201" t="s">
        <v>137</v>
      </c>
      <c r="D79" s="133"/>
      <c r="E79" s="153" t="s">
        <v>456</v>
      </c>
      <c r="F79" s="154">
        <v>98</v>
      </c>
      <c r="G79" s="154">
        <v>99</v>
      </c>
      <c r="H79" s="154">
        <v>99</v>
      </c>
      <c r="I79" s="154">
        <v>99</v>
      </c>
      <c r="J79" s="149">
        <v>99</v>
      </c>
      <c r="K79" s="143">
        <v>99</v>
      </c>
    </row>
    <row r="80" spans="1:12">
      <c r="A80" s="2377" t="s">
        <v>113</v>
      </c>
      <c r="B80" s="2378"/>
      <c r="C80" s="2378"/>
      <c r="D80" s="2378"/>
      <c r="E80" s="2378"/>
      <c r="F80" s="2378"/>
      <c r="G80" s="2378"/>
      <c r="H80" s="2378"/>
      <c r="I80" s="2378"/>
      <c r="J80" s="2378"/>
      <c r="K80" s="248"/>
    </row>
    <row r="81" spans="1:11" ht="12.75" customHeight="1">
      <c r="A81" s="2372" t="s">
        <v>735</v>
      </c>
      <c r="B81" s="2373"/>
      <c r="C81" s="2373"/>
      <c r="D81" s="2373"/>
      <c r="E81" s="2373"/>
      <c r="F81" s="2373"/>
      <c r="G81" s="2373"/>
      <c r="H81" s="2373"/>
      <c r="I81" s="2373"/>
      <c r="J81" s="2373"/>
      <c r="K81" s="250"/>
    </row>
    <row r="82" spans="1:11" ht="12.75" customHeight="1">
      <c r="A82" s="2374" t="s">
        <v>210</v>
      </c>
      <c r="B82" s="2375"/>
      <c r="C82" s="2375"/>
      <c r="D82" s="2375"/>
      <c r="E82" s="2375"/>
      <c r="F82" s="2375"/>
      <c r="G82" s="2375"/>
      <c r="H82" s="2375"/>
      <c r="I82" s="2375"/>
      <c r="J82" s="2375"/>
      <c r="K82" s="251"/>
    </row>
    <row r="83" spans="1:11" ht="12.9">
      <c r="A83" s="280" t="s">
        <v>627</v>
      </c>
      <c r="B83" s="284"/>
      <c r="C83" s="288" t="s">
        <v>628</v>
      </c>
      <c r="D83" s="289"/>
      <c r="E83" s="292" t="s">
        <v>283</v>
      </c>
      <c r="F83" s="137">
        <v>785</v>
      </c>
      <c r="G83" s="137">
        <v>740</v>
      </c>
      <c r="H83" s="165">
        <v>745</v>
      </c>
      <c r="I83" s="288">
        <v>760</v>
      </c>
      <c r="J83" s="288">
        <v>770</v>
      </c>
      <c r="K83" s="288" t="s">
        <v>760</v>
      </c>
    </row>
    <row r="84" spans="1:11" ht="13.3" thickBot="1">
      <c r="A84" s="280" t="s">
        <v>148</v>
      </c>
      <c r="B84" s="285"/>
      <c r="C84" s="288" t="s">
        <v>171</v>
      </c>
      <c r="D84" s="289"/>
      <c r="E84" s="293" t="s">
        <v>283</v>
      </c>
      <c r="F84" s="281">
        <v>760</v>
      </c>
      <c r="G84" s="291">
        <v>770</v>
      </c>
      <c r="H84" s="294" t="s">
        <v>760</v>
      </c>
      <c r="I84" s="288">
        <v>180</v>
      </c>
      <c r="J84" s="288">
        <v>190</v>
      </c>
      <c r="K84" s="288" t="s">
        <v>761</v>
      </c>
    </row>
    <row r="85" spans="1:11" ht="13.3" thickBot="1">
      <c r="A85" s="280" t="s">
        <v>188</v>
      </c>
      <c r="B85" s="285"/>
      <c r="C85" s="288" t="s">
        <v>189</v>
      </c>
      <c r="D85" s="289"/>
      <c r="E85" s="293" t="s">
        <v>283</v>
      </c>
      <c r="F85" s="281">
        <v>180</v>
      </c>
      <c r="G85" s="291">
        <v>190</v>
      </c>
      <c r="H85" s="294" t="s">
        <v>761</v>
      </c>
      <c r="I85" s="288">
        <v>760</v>
      </c>
      <c r="J85" s="288">
        <v>770</v>
      </c>
      <c r="K85" s="288" t="s">
        <v>760</v>
      </c>
    </row>
    <row r="86" spans="1:11" ht="13" customHeight="1" thickBot="1">
      <c r="A86" s="280" t="s">
        <v>190</v>
      </c>
      <c r="B86" s="285"/>
      <c r="C86" s="288" t="s">
        <v>187</v>
      </c>
      <c r="D86" s="289"/>
      <c r="E86" s="293" t="s">
        <v>283</v>
      </c>
      <c r="F86" s="281">
        <v>760</v>
      </c>
      <c r="G86" s="291">
        <v>770</v>
      </c>
      <c r="H86" s="294" t="s">
        <v>760</v>
      </c>
      <c r="I86" s="288">
        <v>890</v>
      </c>
      <c r="J86" s="288">
        <v>890</v>
      </c>
      <c r="K86" s="288" t="s">
        <v>762</v>
      </c>
    </row>
    <row r="87" spans="1:11" ht="13.3" thickBot="1">
      <c r="A87" s="280" t="s">
        <v>478</v>
      </c>
      <c r="B87" s="285"/>
      <c r="C87" s="288" t="s">
        <v>419</v>
      </c>
      <c r="D87" s="289"/>
      <c r="E87" s="293" t="s">
        <v>283</v>
      </c>
      <c r="F87" s="281">
        <v>890</v>
      </c>
      <c r="G87" s="291">
        <v>890</v>
      </c>
      <c r="H87" s="294" t="s">
        <v>762</v>
      </c>
      <c r="I87" s="288">
        <v>200</v>
      </c>
      <c r="J87" s="288">
        <v>200</v>
      </c>
      <c r="K87" s="288" t="s">
        <v>763</v>
      </c>
    </row>
    <row r="88" spans="1:11" ht="13.3" thickBot="1">
      <c r="A88" s="280" t="s">
        <v>138</v>
      </c>
      <c r="B88" s="285"/>
      <c r="C88" s="288" t="s">
        <v>558</v>
      </c>
      <c r="D88" s="289"/>
      <c r="E88" s="293" t="s">
        <v>283</v>
      </c>
      <c r="F88" s="281">
        <v>200</v>
      </c>
      <c r="G88" s="291">
        <v>200</v>
      </c>
      <c r="H88" s="294" t="s">
        <v>763</v>
      </c>
      <c r="I88" s="288">
        <v>17</v>
      </c>
      <c r="J88" s="288">
        <v>15</v>
      </c>
      <c r="K88" s="288">
        <v>15</v>
      </c>
    </row>
    <row r="89" spans="1:11" ht="13.5" customHeight="1" thickBot="1">
      <c r="A89" s="280" t="s">
        <v>139</v>
      </c>
      <c r="B89" s="285"/>
      <c r="C89" s="288" t="s">
        <v>559</v>
      </c>
      <c r="D89" s="289"/>
      <c r="E89" s="293" t="s">
        <v>283</v>
      </c>
      <c r="F89" s="281">
        <v>17</v>
      </c>
      <c r="G89" s="291">
        <v>15</v>
      </c>
      <c r="H89" s="294">
        <v>15</v>
      </c>
      <c r="I89" s="288">
        <v>2200</v>
      </c>
      <c r="J89" s="288">
        <v>2300</v>
      </c>
      <c r="K89" s="288" t="s">
        <v>764</v>
      </c>
    </row>
    <row r="90" spans="1:11" ht="13.3" thickBot="1">
      <c r="A90" s="280" t="s">
        <v>755</v>
      </c>
      <c r="B90" s="285"/>
      <c r="C90" s="288" t="s">
        <v>325</v>
      </c>
      <c r="D90" s="289"/>
      <c r="E90" s="293" t="s">
        <v>283</v>
      </c>
      <c r="F90" s="281">
        <v>2200</v>
      </c>
      <c r="G90" s="291">
        <v>2300</v>
      </c>
      <c r="H90" s="294" t="s">
        <v>764</v>
      </c>
      <c r="I90" s="288">
        <v>200</v>
      </c>
      <c r="J90" s="288">
        <v>300</v>
      </c>
      <c r="K90" s="288">
        <v>500</v>
      </c>
    </row>
    <row r="91" spans="1:11" ht="13.3" thickBot="1">
      <c r="A91" s="280" t="s">
        <v>418</v>
      </c>
      <c r="B91" s="285"/>
      <c r="C91" s="288" t="s">
        <v>327</v>
      </c>
      <c r="D91" s="289"/>
      <c r="E91" s="293" t="s">
        <v>283</v>
      </c>
      <c r="F91" s="281">
        <v>200</v>
      </c>
      <c r="G91" s="291">
        <v>300</v>
      </c>
      <c r="H91" s="294">
        <v>500</v>
      </c>
      <c r="I91" s="288">
        <v>65</v>
      </c>
      <c r="J91" s="288">
        <v>70</v>
      </c>
      <c r="K91" s="288" t="s">
        <v>765</v>
      </c>
    </row>
    <row r="92" spans="1:11" ht="12.75" customHeight="1" thickBot="1">
      <c r="A92" s="280" t="s">
        <v>477</v>
      </c>
      <c r="B92" s="285"/>
      <c r="C92" s="288" t="s">
        <v>517</v>
      </c>
      <c r="D92" s="289"/>
      <c r="E92" s="293" t="s">
        <v>456</v>
      </c>
      <c r="F92" s="281">
        <v>65</v>
      </c>
      <c r="G92" s="291">
        <v>70</v>
      </c>
      <c r="H92" s="294" t="s">
        <v>765</v>
      </c>
      <c r="I92" s="288">
        <v>27</v>
      </c>
      <c r="J92" s="288">
        <v>28</v>
      </c>
      <c r="K92" s="288" t="s">
        <v>766</v>
      </c>
    </row>
    <row r="93" spans="1:11" ht="26.15" thickBot="1">
      <c r="A93" s="280" t="s">
        <v>756</v>
      </c>
      <c r="B93" s="285"/>
      <c r="C93" s="288" t="s">
        <v>486</v>
      </c>
      <c r="D93" s="289"/>
      <c r="E93" s="293" t="s">
        <v>283</v>
      </c>
      <c r="F93" s="281">
        <v>27</v>
      </c>
      <c r="G93" s="291">
        <v>28</v>
      </c>
      <c r="H93" s="294" t="s">
        <v>766</v>
      </c>
      <c r="I93" s="288">
        <v>90</v>
      </c>
      <c r="J93" s="288">
        <v>95</v>
      </c>
      <c r="K93" s="288" t="s">
        <v>767</v>
      </c>
    </row>
    <row r="94" spans="1:11" ht="15.9" thickBot="1">
      <c r="A94" s="280" t="s">
        <v>326</v>
      </c>
      <c r="B94" s="285"/>
      <c r="C94" s="290"/>
      <c r="D94" s="289"/>
      <c r="E94" s="293" t="s">
        <v>456</v>
      </c>
      <c r="F94" s="281">
        <v>90</v>
      </c>
      <c r="G94" s="291">
        <v>95</v>
      </c>
      <c r="H94" s="294" t="s">
        <v>767</v>
      </c>
      <c r="I94" s="288">
        <v>250</v>
      </c>
      <c r="J94" s="288">
        <v>150</v>
      </c>
      <c r="K94" s="288" t="s">
        <v>768</v>
      </c>
    </row>
    <row r="95" spans="1:11" ht="13.3" thickBot="1">
      <c r="A95" s="280" t="s">
        <v>328</v>
      </c>
      <c r="B95" s="285"/>
      <c r="C95" s="288" t="s">
        <v>382</v>
      </c>
      <c r="D95" s="289"/>
      <c r="E95" s="293" t="s">
        <v>283</v>
      </c>
      <c r="F95" s="281">
        <v>250</v>
      </c>
      <c r="G95" s="291">
        <v>150</v>
      </c>
      <c r="H95" s="294" t="s">
        <v>768</v>
      </c>
      <c r="I95" s="288">
        <v>100</v>
      </c>
      <c r="J95" s="288">
        <v>50</v>
      </c>
      <c r="K95" s="288" t="s">
        <v>769</v>
      </c>
    </row>
    <row r="96" spans="1:11" ht="13.3" thickBot="1">
      <c r="A96" s="280" t="s">
        <v>515</v>
      </c>
      <c r="B96" s="285"/>
      <c r="C96" s="139"/>
      <c r="D96" s="289"/>
      <c r="E96" s="293" t="s">
        <v>283</v>
      </c>
      <c r="F96" s="281">
        <v>100</v>
      </c>
      <c r="G96" s="291">
        <v>50</v>
      </c>
      <c r="H96" s="294" t="s">
        <v>769</v>
      </c>
      <c r="I96" s="288">
        <v>100</v>
      </c>
      <c r="J96" s="288">
        <v>50</v>
      </c>
      <c r="K96" s="288" t="s">
        <v>770</v>
      </c>
    </row>
    <row r="97" spans="1:11" ht="13.3" thickBot="1">
      <c r="A97" s="280" t="s">
        <v>516</v>
      </c>
      <c r="B97" s="286"/>
      <c r="C97" s="139"/>
      <c r="D97" s="289"/>
      <c r="E97" s="293" t="s">
        <v>283</v>
      </c>
      <c r="F97" s="281">
        <v>100</v>
      </c>
      <c r="G97" s="291">
        <v>50</v>
      </c>
      <c r="H97" s="294" t="s">
        <v>770</v>
      </c>
      <c r="I97" s="288">
        <v>50</v>
      </c>
      <c r="J97" s="288">
        <v>30</v>
      </c>
      <c r="K97" s="288" t="s">
        <v>769</v>
      </c>
    </row>
    <row r="98" spans="1:11" ht="13.3" thickBot="1">
      <c r="A98" s="280" t="s">
        <v>757</v>
      </c>
      <c r="B98" s="285"/>
      <c r="C98" s="288" t="s">
        <v>383</v>
      </c>
      <c r="D98" s="289"/>
      <c r="E98" s="293" t="s">
        <v>283</v>
      </c>
      <c r="F98" s="281">
        <v>50</v>
      </c>
      <c r="G98" s="291">
        <v>30</v>
      </c>
      <c r="H98" s="294" t="s">
        <v>769</v>
      </c>
      <c r="I98" s="288">
        <v>90</v>
      </c>
      <c r="J98" s="288">
        <v>95</v>
      </c>
      <c r="K98" s="288" t="s">
        <v>771</v>
      </c>
    </row>
    <row r="99" spans="1:11" ht="13.3" thickBot="1">
      <c r="A99" s="280" t="s">
        <v>758</v>
      </c>
      <c r="B99" s="287"/>
      <c r="C99" s="288" t="s">
        <v>636</v>
      </c>
      <c r="D99" s="289"/>
      <c r="E99" s="293" t="s">
        <v>456</v>
      </c>
      <c r="F99" s="281">
        <v>90</v>
      </c>
      <c r="G99" s="291">
        <v>95</v>
      </c>
      <c r="H99" s="294" t="s">
        <v>771</v>
      </c>
      <c r="I99" s="288">
        <v>1400</v>
      </c>
      <c r="J99" s="288">
        <v>1500</v>
      </c>
      <c r="K99" s="288" t="s">
        <v>772</v>
      </c>
    </row>
    <row r="100" spans="1:11" ht="12.9">
      <c r="A100" s="280" t="s">
        <v>759</v>
      </c>
      <c r="B100" s="287"/>
      <c r="C100" s="288" t="s">
        <v>637</v>
      </c>
      <c r="D100" s="289"/>
      <c r="E100" s="293" t="s">
        <v>568</v>
      </c>
      <c r="F100" s="283">
        <v>1400</v>
      </c>
      <c r="G100" s="282">
        <v>1500</v>
      </c>
      <c r="H100" s="295" t="s">
        <v>772</v>
      </c>
      <c r="I100" s="288">
        <v>500</v>
      </c>
      <c r="J100" s="288">
        <v>600</v>
      </c>
      <c r="K100" s="288">
        <v>650</v>
      </c>
    </row>
    <row r="101" spans="1:11" ht="19" customHeight="1">
      <c r="A101" s="2400" t="s">
        <v>658</v>
      </c>
      <c r="B101" s="2401"/>
      <c r="C101" s="2402"/>
      <c r="D101" s="2402"/>
      <c r="E101" s="2393"/>
      <c r="F101" s="2393"/>
      <c r="G101" s="2393"/>
      <c r="H101" s="2393"/>
      <c r="I101" s="2402"/>
      <c r="J101" s="2402"/>
      <c r="K101" s="296"/>
    </row>
    <row r="102" spans="1:11" ht="12.75" customHeight="1">
      <c r="A102" s="2394" t="s">
        <v>773</v>
      </c>
      <c r="B102" s="297"/>
      <c r="C102" s="2395" t="s">
        <v>557</v>
      </c>
      <c r="D102" s="297"/>
      <c r="E102" s="293" t="s">
        <v>283</v>
      </c>
      <c r="F102" s="299">
        <v>1800</v>
      </c>
      <c r="G102" s="137">
        <v>1750</v>
      </c>
      <c r="H102" s="165">
        <v>1750</v>
      </c>
      <c r="I102" s="288">
        <v>1200</v>
      </c>
      <c r="J102" s="288">
        <v>1200</v>
      </c>
      <c r="K102" s="288" t="s">
        <v>784</v>
      </c>
    </row>
    <row r="103" spans="1:11" ht="12.9">
      <c r="A103" s="2394"/>
      <c r="B103" s="297"/>
      <c r="C103" s="2395"/>
      <c r="D103" s="297"/>
      <c r="E103" s="293" t="s">
        <v>456</v>
      </c>
      <c r="F103" s="73">
        <v>6</v>
      </c>
      <c r="G103" s="7">
        <v>7</v>
      </c>
      <c r="H103" s="142">
        <v>7</v>
      </c>
      <c r="I103" s="288">
        <v>7</v>
      </c>
      <c r="J103" s="288">
        <v>8</v>
      </c>
      <c r="K103" s="288" t="s">
        <v>785</v>
      </c>
    </row>
    <row r="104" spans="1:11" ht="12.9">
      <c r="A104" s="280" t="s">
        <v>639</v>
      </c>
      <c r="B104" s="297"/>
      <c r="C104" s="288" t="s">
        <v>246</v>
      </c>
      <c r="D104" s="297"/>
      <c r="E104" s="293" t="s">
        <v>283</v>
      </c>
      <c r="F104" s="73">
        <v>45</v>
      </c>
      <c r="G104" s="7">
        <v>50</v>
      </c>
      <c r="H104" s="142">
        <v>50</v>
      </c>
      <c r="I104" s="288">
        <v>6</v>
      </c>
      <c r="J104" s="288">
        <v>8</v>
      </c>
      <c r="K104" s="288" t="s">
        <v>786</v>
      </c>
    </row>
    <row r="105" spans="1:11" ht="12.9">
      <c r="A105" s="280" t="s">
        <v>421</v>
      </c>
      <c r="B105" s="297"/>
      <c r="C105" s="288" t="s">
        <v>638</v>
      </c>
      <c r="D105" s="297"/>
      <c r="E105" s="293" t="s">
        <v>283</v>
      </c>
      <c r="F105" s="73">
        <v>750</v>
      </c>
      <c r="G105" s="7">
        <v>800</v>
      </c>
      <c r="H105" s="142">
        <v>900</v>
      </c>
      <c r="I105" s="288">
        <v>100</v>
      </c>
      <c r="J105" s="288">
        <v>100</v>
      </c>
      <c r="K105" s="288" t="s">
        <v>767</v>
      </c>
    </row>
    <row r="106" spans="1:11" ht="25.75">
      <c r="A106" s="280" t="s">
        <v>260</v>
      </c>
      <c r="B106" s="297"/>
      <c r="C106" s="288" t="s">
        <v>640</v>
      </c>
      <c r="D106" s="297"/>
      <c r="E106" s="293" t="s">
        <v>456</v>
      </c>
      <c r="F106" s="73">
        <v>60</v>
      </c>
      <c r="G106" s="7">
        <v>70</v>
      </c>
      <c r="H106" s="142">
        <v>70</v>
      </c>
      <c r="I106" s="288">
        <v>99</v>
      </c>
      <c r="J106" s="288">
        <v>99</v>
      </c>
      <c r="K106" s="288" t="s">
        <v>787</v>
      </c>
    </row>
    <row r="107" spans="1:11" ht="12.9">
      <c r="A107" s="280" t="s">
        <v>774</v>
      </c>
      <c r="B107" s="297"/>
      <c r="C107" s="2395" t="s">
        <v>641</v>
      </c>
      <c r="D107" s="297"/>
      <c r="E107" s="293" t="s">
        <v>456</v>
      </c>
      <c r="F107" s="73">
        <v>1450</v>
      </c>
      <c r="G107" s="7">
        <v>1500</v>
      </c>
      <c r="H107" s="142">
        <v>1500</v>
      </c>
      <c r="I107" s="288">
        <v>85</v>
      </c>
      <c r="J107" s="288">
        <v>95</v>
      </c>
      <c r="K107" s="288" t="s">
        <v>771</v>
      </c>
    </row>
    <row r="108" spans="1:11" ht="12.9">
      <c r="A108" s="280" t="s">
        <v>775</v>
      </c>
      <c r="B108" s="297"/>
      <c r="C108" s="2395"/>
      <c r="D108" s="297"/>
      <c r="E108" s="300" t="s">
        <v>283</v>
      </c>
      <c r="F108" s="73">
        <v>186</v>
      </c>
      <c r="G108" s="7">
        <v>190</v>
      </c>
      <c r="H108" s="142">
        <v>90</v>
      </c>
      <c r="I108" s="288">
        <v>17</v>
      </c>
      <c r="J108" s="288">
        <v>20</v>
      </c>
      <c r="K108" s="288">
        <v>20</v>
      </c>
    </row>
    <row r="109" spans="1:11" ht="12.9">
      <c r="A109" s="280" t="s">
        <v>776</v>
      </c>
      <c r="B109" s="297"/>
      <c r="C109" s="2395"/>
      <c r="D109" s="297"/>
      <c r="E109" s="300" t="s">
        <v>283</v>
      </c>
      <c r="F109" s="73">
        <v>99</v>
      </c>
      <c r="G109" s="7">
        <v>99</v>
      </c>
      <c r="H109" s="142">
        <v>99</v>
      </c>
      <c r="I109" s="288">
        <v>14</v>
      </c>
      <c r="J109" s="288">
        <v>15</v>
      </c>
      <c r="K109" s="288">
        <v>14</v>
      </c>
    </row>
    <row r="110" spans="1:11" ht="12.9">
      <c r="A110" s="280" t="s">
        <v>777</v>
      </c>
      <c r="B110" s="297"/>
      <c r="C110" s="2395"/>
      <c r="D110" s="297"/>
      <c r="E110" s="300" t="s">
        <v>283</v>
      </c>
      <c r="F110" s="73">
        <v>30</v>
      </c>
      <c r="G110" s="7">
        <v>25</v>
      </c>
      <c r="H110" s="142">
        <v>32</v>
      </c>
      <c r="I110" s="288">
        <v>0</v>
      </c>
      <c r="J110" s="288">
        <v>0</v>
      </c>
      <c r="K110" s="288">
        <v>1</v>
      </c>
    </row>
    <row r="111" spans="1:11" ht="12.9">
      <c r="A111" s="280" t="s">
        <v>778</v>
      </c>
      <c r="B111" s="297"/>
      <c r="C111" s="2398" t="s">
        <v>422</v>
      </c>
      <c r="D111" s="297"/>
      <c r="E111" s="293" t="s">
        <v>456</v>
      </c>
      <c r="F111" s="73">
        <v>40</v>
      </c>
      <c r="G111" s="7">
        <v>50</v>
      </c>
      <c r="H111" s="142">
        <v>50</v>
      </c>
      <c r="I111" s="288">
        <v>91</v>
      </c>
      <c r="J111" s="288">
        <v>93</v>
      </c>
      <c r="K111" s="288" t="s">
        <v>788</v>
      </c>
    </row>
    <row r="112" spans="1:11" ht="12.9">
      <c r="A112" s="280" t="s">
        <v>779</v>
      </c>
      <c r="B112" s="297"/>
      <c r="C112" s="2399"/>
      <c r="D112" s="297"/>
      <c r="E112" s="293" t="s">
        <v>283</v>
      </c>
      <c r="F112" s="73">
        <v>7</v>
      </c>
      <c r="G112" s="7">
        <v>8</v>
      </c>
      <c r="H112" s="142">
        <v>8</v>
      </c>
      <c r="I112" s="288">
        <v>55</v>
      </c>
      <c r="J112" s="288">
        <v>53</v>
      </c>
      <c r="K112" s="288" t="s">
        <v>789</v>
      </c>
    </row>
    <row r="113" spans="1:11" ht="12.9">
      <c r="A113" s="280" t="s">
        <v>780</v>
      </c>
      <c r="B113" s="297"/>
      <c r="C113" s="2399"/>
      <c r="D113" s="297"/>
      <c r="E113" s="293" t="s">
        <v>283</v>
      </c>
      <c r="F113" s="73">
        <v>7</v>
      </c>
      <c r="G113" s="7">
        <v>7</v>
      </c>
      <c r="H113" s="142">
        <v>7</v>
      </c>
      <c r="I113" s="288">
        <v>155</v>
      </c>
      <c r="J113" s="288">
        <v>157</v>
      </c>
      <c r="K113" s="288" t="s">
        <v>790</v>
      </c>
    </row>
    <row r="114" spans="1:11" ht="12.9">
      <c r="A114" s="280" t="s">
        <v>781</v>
      </c>
      <c r="B114" s="297"/>
      <c r="C114" s="2399"/>
      <c r="D114" s="297"/>
      <c r="E114" s="300" t="s">
        <v>283</v>
      </c>
      <c r="F114" s="210">
        <v>5</v>
      </c>
      <c r="G114" s="154">
        <v>5</v>
      </c>
      <c r="H114" s="149">
        <v>7</v>
      </c>
      <c r="I114" s="288">
        <v>185</v>
      </c>
      <c r="J114" s="288">
        <v>187</v>
      </c>
      <c r="K114" s="288">
        <v>189</v>
      </c>
    </row>
    <row r="115" spans="1:11" ht="12.9">
      <c r="A115" s="280" t="s">
        <v>792</v>
      </c>
      <c r="B115" s="297"/>
      <c r="C115" s="2399"/>
      <c r="D115" s="297"/>
      <c r="E115" s="300" t="s">
        <v>283</v>
      </c>
      <c r="F115" s="210">
        <v>5</v>
      </c>
      <c r="G115" s="154">
        <v>5</v>
      </c>
      <c r="H115" s="149">
        <v>7</v>
      </c>
      <c r="I115" s="288">
        <v>7</v>
      </c>
      <c r="J115" s="288">
        <v>8</v>
      </c>
      <c r="K115" s="288">
        <v>8</v>
      </c>
    </row>
    <row r="116" spans="1:11" ht="25.75">
      <c r="A116" s="280" t="s">
        <v>782</v>
      </c>
      <c r="B116" s="298"/>
      <c r="C116" s="288" t="s">
        <v>261</v>
      </c>
      <c r="D116" s="297"/>
      <c r="E116" s="300" t="s">
        <v>283</v>
      </c>
      <c r="F116" s="73">
        <v>7</v>
      </c>
      <c r="G116" s="7">
        <v>8</v>
      </c>
      <c r="H116" s="142">
        <v>8</v>
      </c>
      <c r="I116" s="288">
        <v>5</v>
      </c>
      <c r="J116" s="288">
        <v>10</v>
      </c>
      <c r="K116" s="288">
        <v>10</v>
      </c>
    </row>
    <row r="117" spans="1:11" ht="14.25" customHeight="1">
      <c r="A117" s="280" t="s">
        <v>480</v>
      </c>
      <c r="B117" s="298"/>
      <c r="C117" s="288" t="s">
        <v>262</v>
      </c>
      <c r="D117" s="297"/>
      <c r="E117" s="300" t="s">
        <v>283</v>
      </c>
      <c r="F117" s="73">
        <v>7</v>
      </c>
      <c r="G117" s="7">
        <v>7</v>
      </c>
      <c r="H117" s="142">
        <v>7</v>
      </c>
      <c r="I117" s="288">
        <v>5</v>
      </c>
      <c r="J117" s="288">
        <v>5</v>
      </c>
      <c r="K117" s="288" t="s">
        <v>791</v>
      </c>
    </row>
    <row r="118" spans="1:11" ht="12.9">
      <c r="A118" s="280" t="s">
        <v>783</v>
      </c>
      <c r="B118" s="298"/>
      <c r="C118" s="288" t="s">
        <v>642</v>
      </c>
      <c r="D118" s="297"/>
      <c r="E118" s="293" t="s">
        <v>283</v>
      </c>
      <c r="F118" s="210">
        <v>5</v>
      </c>
      <c r="G118" s="154">
        <v>5</v>
      </c>
      <c r="H118" s="149">
        <v>7</v>
      </c>
      <c r="I118" s="288">
        <v>7</v>
      </c>
      <c r="J118" s="288">
        <v>10</v>
      </c>
      <c r="K118" s="288">
        <v>12</v>
      </c>
    </row>
    <row r="119" spans="1:11" ht="12.75" customHeight="1">
      <c r="A119" s="2396" t="s">
        <v>169</v>
      </c>
      <c r="B119" s="2397"/>
      <c r="C119" s="2397"/>
      <c r="D119" s="2397"/>
      <c r="E119" s="2397"/>
      <c r="F119" s="2383"/>
      <c r="G119" s="2383"/>
      <c r="H119" s="2383"/>
      <c r="I119" s="2397"/>
      <c r="J119" s="2397"/>
      <c r="K119" s="301"/>
    </row>
    <row r="120" spans="1:11" ht="12.75" customHeight="1">
      <c r="A120" s="2390" t="s">
        <v>281</v>
      </c>
      <c r="B120" s="2391"/>
      <c r="C120" s="2391"/>
      <c r="D120" s="2391"/>
      <c r="E120" s="2391"/>
      <c r="F120" s="2391"/>
      <c r="G120" s="2391"/>
      <c r="H120" s="2391"/>
      <c r="I120" s="2391"/>
      <c r="J120" s="2391"/>
      <c r="K120" s="206"/>
    </row>
    <row r="121" spans="1:11" ht="12.9">
      <c r="A121" s="253" t="s">
        <v>793</v>
      </c>
      <c r="B121" s="148"/>
      <c r="C121" s="222" t="s">
        <v>98</v>
      </c>
      <c r="D121" s="254"/>
      <c r="E121" s="223" t="s">
        <v>456</v>
      </c>
      <c r="F121" s="222">
        <v>65</v>
      </c>
      <c r="G121" s="222">
        <v>62</v>
      </c>
      <c r="H121" s="222">
        <v>30</v>
      </c>
      <c r="I121" s="222">
        <v>30</v>
      </c>
      <c r="J121" s="255">
        <v>30</v>
      </c>
      <c r="K121" s="156">
        <v>30</v>
      </c>
    </row>
    <row r="122" spans="1:11" ht="13.5" customHeight="1">
      <c r="A122" s="2392" t="s">
        <v>719</v>
      </c>
      <c r="B122" s="2393"/>
      <c r="C122" s="2393"/>
      <c r="D122" s="2393"/>
      <c r="E122" s="2393"/>
      <c r="F122" s="2393"/>
      <c r="G122" s="2393"/>
      <c r="H122" s="2393"/>
      <c r="I122" s="2393"/>
      <c r="J122" s="2393"/>
      <c r="K122" s="252"/>
    </row>
    <row r="123" spans="1:11" ht="12.9">
      <c r="A123" s="148" t="s">
        <v>211</v>
      </c>
      <c r="B123" s="256"/>
      <c r="C123" s="257" t="s">
        <v>99</v>
      </c>
      <c r="D123" s="258"/>
      <c r="E123" s="259" t="s">
        <v>283</v>
      </c>
      <c r="F123" s="260">
        <v>28</v>
      </c>
      <c r="G123" s="260">
        <v>28</v>
      </c>
      <c r="H123" s="261">
        <v>14</v>
      </c>
      <c r="I123" s="261">
        <v>15</v>
      </c>
      <c r="J123" s="262">
        <v>17</v>
      </c>
      <c r="K123" s="143">
        <v>20</v>
      </c>
    </row>
    <row r="124" spans="1:11" ht="17.149999999999999" customHeight="1">
      <c r="A124" s="2384" t="s">
        <v>462</v>
      </c>
      <c r="B124" s="2385"/>
      <c r="C124" s="2385"/>
      <c r="D124" s="2385"/>
      <c r="E124" s="2385"/>
      <c r="F124" s="2385"/>
      <c r="G124" s="2385"/>
      <c r="H124" s="2385"/>
      <c r="I124" s="2385"/>
      <c r="J124" s="2385"/>
      <c r="K124" s="232"/>
    </row>
    <row r="125" spans="1:11" ht="12.75" customHeight="1">
      <c r="A125" s="2382" t="s">
        <v>442</v>
      </c>
      <c r="B125" s="2383"/>
      <c r="C125" s="2383"/>
      <c r="D125" s="2383"/>
      <c r="E125" s="2383"/>
      <c r="F125" s="2383"/>
      <c r="G125" s="2383"/>
      <c r="H125" s="2383"/>
      <c r="I125" s="2383"/>
      <c r="J125" s="2383"/>
      <c r="K125" s="205"/>
    </row>
    <row r="126" spans="1:11" ht="12.75" customHeight="1">
      <c r="A126" s="2386" t="s">
        <v>281</v>
      </c>
      <c r="B126" s="2387"/>
      <c r="C126" s="2387"/>
      <c r="D126" s="2387"/>
      <c r="E126" s="2387"/>
      <c r="F126" s="2387"/>
      <c r="G126" s="2387"/>
      <c r="H126" s="2387"/>
      <c r="I126" s="2387"/>
      <c r="J126" s="2387"/>
      <c r="K126" s="234"/>
    </row>
    <row r="127" spans="1:11" ht="15.75" customHeight="1">
      <c r="A127" s="134" t="s">
        <v>443</v>
      </c>
      <c r="B127" s="134"/>
      <c r="C127" s="203" t="s">
        <v>484</v>
      </c>
      <c r="D127" s="135"/>
      <c r="E127" s="136" t="s">
        <v>283</v>
      </c>
      <c r="F127" s="137">
        <v>45</v>
      </c>
      <c r="G127" s="137">
        <v>45</v>
      </c>
      <c r="H127" s="137">
        <v>44</v>
      </c>
      <c r="I127" s="137">
        <v>45</v>
      </c>
      <c r="J127" s="165">
        <v>45</v>
      </c>
      <c r="K127" s="143">
        <v>45</v>
      </c>
    </row>
    <row r="128" spans="1:11" ht="15.75" customHeight="1">
      <c r="A128" s="8" t="s">
        <v>826</v>
      </c>
      <c r="B128" s="8"/>
      <c r="C128" s="15" t="s">
        <v>309</v>
      </c>
      <c r="D128" s="5"/>
      <c r="E128" s="6" t="s">
        <v>283</v>
      </c>
      <c r="F128" s="7"/>
      <c r="G128" s="7"/>
      <c r="H128" s="7">
        <v>3000</v>
      </c>
      <c r="I128" s="7">
        <v>3000</v>
      </c>
      <c r="J128" s="142">
        <v>3000</v>
      </c>
      <c r="K128" s="143">
        <v>3000</v>
      </c>
    </row>
    <row r="129" spans="1:11">
      <c r="A129" s="2352" t="s">
        <v>113</v>
      </c>
      <c r="B129" s="2352"/>
      <c r="C129" s="2352"/>
      <c r="D129" s="2352"/>
      <c r="E129" s="2352"/>
      <c r="F129" s="2352"/>
      <c r="G129" s="2352"/>
      <c r="H129" s="2352"/>
      <c r="I129" s="2352"/>
      <c r="J129" s="2353"/>
      <c r="K129" s="188"/>
    </row>
    <row r="130" spans="1:11" ht="12.75" customHeight="1">
      <c r="A130" s="2350" t="s">
        <v>400</v>
      </c>
      <c r="B130" s="2350"/>
      <c r="C130" s="2350"/>
      <c r="D130" s="2350"/>
      <c r="E130" s="2350"/>
      <c r="F130" s="2350"/>
      <c r="G130" s="2350"/>
      <c r="H130" s="2350"/>
      <c r="I130" s="2350"/>
      <c r="J130" s="2351"/>
      <c r="K130" s="190"/>
    </row>
    <row r="131" spans="1:11" ht="12.9">
      <c r="A131" s="241" t="s">
        <v>594</v>
      </c>
      <c r="B131" s="241"/>
      <c r="C131" s="201" t="s">
        <v>595</v>
      </c>
      <c r="D131" s="133"/>
      <c r="E131" s="153" t="s">
        <v>283</v>
      </c>
      <c r="F131" s="154">
        <v>800</v>
      </c>
      <c r="G131" s="154">
        <v>800</v>
      </c>
      <c r="H131" s="154">
        <v>850</v>
      </c>
      <c r="I131" s="154">
        <v>850</v>
      </c>
      <c r="J131" s="149">
        <v>850</v>
      </c>
      <c r="K131" s="143">
        <v>850</v>
      </c>
    </row>
    <row r="132" spans="1:11" ht="26.5" customHeight="1">
      <c r="A132" s="2388" t="s">
        <v>596</v>
      </c>
      <c r="B132" s="2389"/>
      <c r="C132" s="2389"/>
      <c r="D132" s="2389"/>
      <c r="E132" s="2389"/>
      <c r="F132" s="2389"/>
      <c r="G132" s="2389"/>
      <c r="H132" s="2389"/>
      <c r="I132" s="2389"/>
      <c r="J132" s="2389"/>
      <c r="K132" s="215"/>
    </row>
    <row r="133" spans="1:11" ht="15.75" customHeight="1">
      <c r="A133" s="211" t="s">
        <v>443</v>
      </c>
      <c r="B133" s="211"/>
      <c r="C133" s="203" t="s">
        <v>32</v>
      </c>
      <c r="D133" s="135"/>
      <c r="E133" s="136" t="s">
        <v>283</v>
      </c>
      <c r="F133" s="137">
        <v>45</v>
      </c>
      <c r="G133" s="137">
        <v>45</v>
      </c>
      <c r="H133" s="137">
        <v>44</v>
      </c>
      <c r="I133" s="137">
        <v>45</v>
      </c>
      <c r="J133" s="165">
        <v>45</v>
      </c>
      <c r="K133" s="204">
        <v>45</v>
      </c>
    </row>
    <row r="134" spans="1:11" ht="26.25" customHeight="1">
      <c r="A134" s="30" t="s">
        <v>499</v>
      </c>
      <c r="B134" s="12"/>
      <c r="C134" s="15" t="s">
        <v>586</v>
      </c>
      <c r="D134" s="5"/>
      <c r="E134" s="6" t="s">
        <v>456</v>
      </c>
      <c r="F134" s="7">
        <v>20</v>
      </c>
      <c r="G134" s="7">
        <v>20</v>
      </c>
      <c r="H134" s="7">
        <v>80</v>
      </c>
      <c r="I134" s="7">
        <v>80</v>
      </c>
      <c r="J134" s="142">
        <v>80</v>
      </c>
      <c r="K134" s="143">
        <v>80</v>
      </c>
    </row>
    <row r="135" spans="1:11" ht="16.5" customHeight="1">
      <c r="A135" s="30" t="s">
        <v>537</v>
      </c>
      <c r="B135" s="12"/>
      <c r="C135" s="15" t="s">
        <v>514</v>
      </c>
      <c r="D135" s="5"/>
      <c r="E135" s="6" t="s">
        <v>283</v>
      </c>
      <c r="F135" s="7">
        <v>300</v>
      </c>
      <c r="G135" s="7">
        <v>300</v>
      </c>
      <c r="H135" s="7">
        <v>150</v>
      </c>
      <c r="I135" s="7">
        <v>150</v>
      </c>
      <c r="J135" s="142">
        <v>150</v>
      </c>
      <c r="K135" s="143">
        <v>150</v>
      </c>
    </row>
    <row r="136" spans="1:11" ht="12.9">
      <c r="A136" s="12" t="s">
        <v>153</v>
      </c>
      <c r="B136" s="12"/>
      <c r="C136" s="15" t="s">
        <v>154</v>
      </c>
      <c r="D136" s="5"/>
      <c r="E136" s="6" t="s">
        <v>155</v>
      </c>
      <c r="F136" s="7">
        <v>2</v>
      </c>
      <c r="G136" s="7">
        <v>1</v>
      </c>
      <c r="H136" s="7">
        <v>1</v>
      </c>
      <c r="I136" s="7">
        <v>1</v>
      </c>
      <c r="J136" s="142">
        <v>1</v>
      </c>
      <c r="K136" s="143">
        <v>1</v>
      </c>
    </row>
    <row r="137" spans="1:11" ht="15.75" customHeight="1">
      <c r="A137" s="12" t="s">
        <v>156</v>
      </c>
      <c r="B137" s="12"/>
      <c r="C137" s="15" t="s">
        <v>157</v>
      </c>
      <c r="D137" s="5"/>
      <c r="E137" s="6" t="s">
        <v>283</v>
      </c>
      <c r="F137" s="7">
        <v>2</v>
      </c>
      <c r="G137" s="7">
        <v>2</v>
      </c>
      <c r="H137" s="7">
        <v>2</v>
      </c>
      <c r="I137" s="7">
        <v>2</v>
      </c>
      <c r="J137" s="142">
        <v>2</v>
      </c>
      <c r="K137" s="143">
        <v>2</v>
      </c>
    </row>
    <row r="138" spans="1:11" ht="17.25" customHeight="1">
      <c r="A138" s="12" t="s">
        <v>721</v>
      </c>
      <c r="B138" s="12"/>
      <c r="C138" s="15" t="s">
        <v>722</v>
      </c>
      <c r="D138" s="5"/>
      <c r="E138" s="6" t="s">
        <v>283</v>
      </c>
      <c r="F138" s="7">
        <v>50</v>
      </c>
      <c r="G138" s="7">
        <v>50</v>
      </c>
      <c r="H138" s="7">
        <v>50</v>
      </c>
      <c r="I138" s="7">
        <v>50</v>
      </c>
      <c r="J138" s="142">
        <v>50</v>
      </c>
      <c r="K138" s="143">
        <v>50</v>
      </c>
    </row>
    <row r="139" spans="1:11" ht="25.75">
      <c r="A139" s="12" t="s">
        <v>741</v>
      </c>
      <c r="B139" s="12"/>
      <c r="C139" s="15" t="s">
        <v>723</v>
      </c>
      <c r="D139" s="5"/>
      <c r="E139" s="34" t="s">
        <v>283</v>
      </c>
      <c r="F139" s="15" t="s">
        <v>724</v>
      </c>
      <c r="G139" s="4" t="s">
        <v>724</v>
      </c>
      <c r="H139" s="4" t="s">
        <v>742</v>
      </c>
      <c r="I139" s="4" t="s">
        <v>742</v>
      </c>
      <c r="J139" s="167" t="s">
        <v>742</v>
      </c>
      <c r="K139" s="156" t="s">
        <v>742</v>
      </c>
    </row>
    <row r="140" spans="1:11" ht="18.649999999999999" customHeight="1">
      <c r="A140" s="2346" t="s">
        <v>21</v>
      </c>
      <c r="B140" s="2346"/>
      <c r="C140" s="2346"/>
      <c r="D140" s="2346"/>
      <c r="E140" s="2346"/>
      <c r="F140" s="2346"/>
      <c r="G140" s="2346"/>
      <c r="H140" s="2346"/>
      <c r="I140" s="2346"/>
      <c r="J140" s="2347"/>
      <c r="K140" s="186"/>
    </row>
    <row r="141" spans="1:11" ht="12.75" customHeight="1">
      <c r="A141" s="2348" t="s">
        <v>380</v>
      </c>
      <c r="B141" s="2348"/>
      <c r="C141" s="2348"/>
      <c r="D141" s="2348"/>
      <c r="E141" s="2348"/>
      <c r="F141" s="2348"/>
      <c r="G141" s="2348"/>
      <c r="H141" s="2348"/>
      <c r="I141" s="2348"/>
      <c r="J141" s="2349"/>
      <c r="K141" s="187"/>
    </row>
    <row r="142" spans="1:11" ht="12.75" customHeight="1">
      <c r="A142" s="2348" t="s">
        <v>281</v>
      </c>
      <c r="B142" s="2348"/>
      <c r="C142" s="2348"/>
      <c r="D142" s="2348"/>
      <c r="E142" s="2348"/>
      <c r="F142" s="2348"/>
      <c r="G142" s="2348"/>
      <c r="H142" s="2348"/>
      <c r="I142" s="2348"/>
      <c r="J142" s="2349"/>
      <c r="K142" s="187"/>
    </row>
    <row r="143" spans="1:11" ht="14.25" customHeight="1">
      <c r="A143" s="8" t="s">
        <v>381</v>
      </c>
      <c r="B143" s="8"/>
      <c r="C143" s="15" t="s">
        <v>546</v>
      </c>
      <c r="D143" s="5"/>
      <c r="E143" s="6" t="s">
        <v>283</v>
      </c>
      <c r="F143" s="7">
        <v>940</v>
      </c>
      <c r="G143" s="7">
        <v>600</v>
      </c>
      <c r="H143" s="40">
        <v>550</v>
      </c>
      <c r="I143" s="7">
        <v>450</v>
      </c>
      <c r="J143" s="142">
        <v>350</v>
      </c>
      <c r="K143" s="143">
        <v>300</v>
      </c>
    </row>
    <row r="144" spans="1:11" ht="12.9">
      <c r="A144" s="10" t="s">
        <v>242</v>
      </c>
      <c r="B144" s="10"/>
      <c r="C144" s="15" t="s">
        <v>547</v>
      </c>
      <c r="D144" s="5"/>
      <c r="E144" s="6" t="s">
        <v>283</v>
      </c>
      <c r="F144" s="7">
        <v>6</v>
      </c>
      <c r="G144" s="7">
        <v>12</v>
      </c>
      <c r="H144" s="7">
        <v>20</v>
      </c>
      <c r="I144" s="7">
        <v>15</v>
      </c>
      <c r="J144" s="142">
        <v>17</v>
      </c>
      <c r="K144" s="143">
        <v>20</v>
      </c>
    </row>
    <row r="145" spans="1:11" ht="16.5" customHeight="1">
      <c r="A145" s="10" t="s">
        <v>794</v>
      </c>
      <c r="B145" s="10"/>
      <c r="C145" s="15" t="s">
        <v>548</v>
      </c>
      <c r="D145" s="5"/>
      <c r="E145" s="6" t="s">
        <v>283</v>
      </c>
      <c r="F145" s="7">
        <v>25</v>
      </c>
      <c r="G145" s="7">
        <v>30</v>
      </c>
      <c r="H145" s="7">
        <v>30</v>
      </c>
      <c r="I145" s="7">
        <v>5</v>
      </c>
      <c r="J145" s="142">
        <v>5</v>
      </c>
      <c r="K145" s="143">
        <v>7</v>
      </c>
    </row>
    <row r="146" spans="1:11" ht="17.25" customHeight="1">
      <c r="A146" s="10" t="s">
        <v>795</v>
      </c>
      <c r="B146" s="10"/>
      <c r="C146" s="15" t="s">
        <v>796</v>
      </c>
      <c r="D146" s="5"/>
      <c r="E146" s="6" t="s">
        <v>456</v>
      </c>
      <c r="F146" s="7">
        <v>25</v>
      </c>
      <c r="G146" s="7">
        <v>30</v>
      </c>
      <c r="H146" s="7">
        <v>30</v>
      </c>
      <c r="I146" s="7">
        <v>40</v>
      </c>
      <c r="J146" s="142">
        <v>45</v>
      </c>
      <c r="K146" s="143">
        <v>50</v>
      </c>
    </row>
    <row r="147" spans="1:11">
      <c r="A147" s="2352" t="s">
        <v>113</v>
      </c>
      <c r="B147" s="2352"/>
      <c r="C147" s="2352"/>
      <c r="D147" s="2352"/>
      <c r="E147" s="2352"/>
      <c r="F147" s="2352"/>
      <c r="G147" s="2352"/>
      <c r="H147" s="2352"/>
      <c r="I147" s="2352"/>
      <c r="J147" s="2353"/>
      <c r="K147" s="188"/>
    </row>
    <row r="148" spans="1:11" ht="12.75" customHeight="1">
      <c r="A148" s="2350" t="s">
        <v>321</v>
      </c>
      <c r="B148" s="2350"/>
      <c r="C148" s="2350"/>
      <c r="D148" s="2350"/>
      <c r="E148" s="2350"/>
      <c r="F148" s="2350"/>
      <c r="G148" s="2350"/>
      <c r="H148" s="2350"/>
      <c r="I148" s="2350"/>
      <c r="J148" s="2351"/>
      <c r="K148" s="190"/>
    </row>
    <row r="149" spans="1:11" ht="12.9">
      <c r="A149" s="12" t="s">
        <v>544</v>
      </c>
      <c r="B149" s="12"/>
      <c r="C149" s="15" t="s">
        <v>545</v>
      </c>
      <c r="D149" s="5"/>
      <c r="E149" s="6" t="s">
        <v>283</v>
      </c>
      <c r="F149" s="7">
        <v>2600</v>
      </c>
      <c r="G149" s="7">
        <v>2600</v>
      </c>
      <c r="H149" s="7">
        <v>2700</v>
      </c>
      <c r="I149" s="7">
        <v>2750</v>
      </c>
      <c r="J149" s="142">
        <v>2800</v>
      </c>
      <c r="K149" s="143">
        <v>3000</v>
      </c>
    </row>
    <row r="150" spans="1:11" ht="12.9">
      <c r="A150" s="12" t="s">
        <v>244</v>
      </c>
      <c r="B150" s="12"/>
      <c r="C150" s="15" t="s">
        <v>604</v>
      </c>
      <c r="D150" s="5"/>
      <c r="E150" s="6" t="s">
        <v>283</v>
      </c>
      <c r="F150" s="7">
        <v>550</v>
      </c>
      <c r="G150" s="7">
        <v>550</v>
      </c>
      <c r="H150" s="7">
        <v>560</v>
      </c>
      <c r="I150" s="7">
        <v>500</v>
      </c>
      <c r="J150" s="142">
        <v>550</v>
      </c>
      <c r="K150" s="143">
        <v>600</v>
      </c>
    </row>
    <row r="151" spans="1:11" ht="18" customHeight="1">
      <c r="A151" s="12" t="s">
        <v>245</v>
      </c>
      <c r="B151" s="12"/>
      <c r="C151" s="15" t="s">
        <v>97</v>
      </c>
      <c r="D151" s="5"/>
      <c r="E151" s="6" t="s">
        <v>834</v>
      </c>
      <c r="F151" s="7" t="s">
        <v>832</v>
      </c>
      <c r="G151" s="7">
        <v>29</v>
      </c>
      <c r="H151" s="7">
        <v>5.3</v>
      </c>
      <c r="I151" s="7">
        <v>50</v>
      </c>
      <c r="J151" s="142">
        <v>150</v>
      </c>
      <c r="K151" s="143">
        <v>150</v>
      </c>
    </row>
    <row r="152" spans="1:11" ht="12.9">
      <c r="A152" s="12" t="s">
        <v>232</v>
      </c>
      <c r="B152" s="12"/>
      <c r="C152" s="15" t="s">
        <v>243</v>
      </c>
      <c r="D152" s="5"/>
      <c r="E152" s="6" t="s">
        <v>833</v>
      </c>
      <c r="F152" s="7">
        <v>49000</v>
      </c>
      <c r="G152" s="7">
        <v>49000</v>
      </c>
      <c r="H152" s="7">
        <v>50000</v>
      </c>
      <c r="I152" s="7">
        <v>50000</v>
      </c>
      <c r="J152" s="142">
        <v>51000</v>
      </c>
      <c r="K152" s="143">
        <v>53000</v>
      </c>
    </row>
    <row r="153" spans="1:11" ht="26.5" customHeight="1">
      <c r="A153" s="2379" t="s">
        <v>508</v>
      </c>
      <c r="B153" s="2379"/>
      <c r="C153" s="2379"/>
      <c r="D153" s="2379"/>
      <c r="E153" s="2379"/>
      <c r="F153" s="2379"/>
      <c r="G153" s="2379"/>
      <c r="H153" s="2379"/>
      <c r="I153" s="2379"/>
      <c r="J153" s="2380"/>
      <c r="K153" s="193"/>
    </row>
    <row r="154" spans="1:11" ht="12.75" customHeight="1">
      <c r="A154" s="2348" t="s">
        <v>281</v>
      </c>
      <c r="B154" s="2348"/>
      <c r="C154" s="2348"/>
      <c r="D154" s="2348"/>
      <c r="E154" s="2348"/>
      <c r="F154" s="2348"/>
      <c r="G154" s="2348"/>
      <c r="H154" s="2348"/>
      <c r="I154" s="2348"/>
      <c r="J154" s="2349"/>
      <c r="K154" s="187"/>
    </row>
    <row r="155" spans="1:11" ht="12.9">
      <c r="A155" s="8" t="s">
        <v>233</v>
      </c>
      <c r="B155" s="8"/>
      <c r="C155" s="15" t="s">
        <v>621</v>
      </c>
      <c r="D155" s="5"/>
      <c r="E155" s="6" t="s">
        <v>283</v>
      </c>
      <c r="F155" s="7">
        <v>50</v>
      </c>
      <c r="G155" s="7">
        <v>6</v>
      </c>
      <c r="H155" s="7">
        <v>6</v>
      </c>
      <c r="I155" s="7">
        <v>7</v>
      </c>
      <c r="J155" s="142">
        <v>12</v>
      </c>
      <c r="K155" s="143">
        <v>12</v>
      </c>
    </row>
    <row r="156" spans="1:11" ht="12.9">
      <c r="A156" s="8" t="s">
        <v>234</v>
      </c>
      <c r="B156" s="8"/>
      <c r="C156" s="15" t="s">
        <v>58</v>
      </c>
      <c r="D156" s="5"/>
      <c r="E156" s="6" t="s">
        <v>283</v>
      </c>
      <c r="F156" s="7">
        <v>15</v>
      </c>
      <c r="G156" s="7">
        <v>450</v>
      </c>
      <c r="H156" s="7">
        <v>700</v>
      </c>
      <c r="I156" s="7">
        <v>800</v>
      </c>
      <c r="J156" s="142">
        <v>2500</v>
      </c>
      <c r="K156" s="143">
        <v>2500</v>
      </c>
    </row>
    <row r="157" spans="1:11">
      <c r="A157" s="2352" t="s">
        <v>113</v>
      </c>
      <c r="B157" s="2352"/>
      <c r="C157" s="2352"/>
      <c r="D157" s="2352"/>
      <c r="E157" s="2352"/>
      <c r="F157" s="2352"/>
      <c r="G157" s="2352"/>
      <c r="H157" s="2352"/>
      <c r="I157" s="2352"/>
      <c r="J157" s="2353"/>
      <c r="K157" s="188"/>
    </row>
    <row r="158" spans="1:11" ht="12.75" customHeight="1">
      <c r="A158" s="2350" t="s">
        <v>324</v>
      </c>
      <c r="B158" s="2350"/>
      <c r="C158" s="2350"/>
      <c r="D158" s="2350"/>
      <c r="E158" s="2350"/>
      <c r="F158" s="2350"/>
      <c r="G158" s="2350"/>
      <c r="H158" s="2350"/>
      <c r="I158" s="2350"/>
      <c r="J158" s="2351"/>
      <c r="K158" s="190"/>
    </row>
    <row r="159" spans="1:11" ht="12.75" customHeight="1">
      <c r="A159" s="16" t="s">
        <v>847</v>
      </c>
      <c r="B159" s="16"/>
      <c r="C159" s="15" t="s">
        <v>204</v>
      </c>
      <c r="D159" s="17"/>
      <c r="E159" s="6" t="s">
        <v>283</v>
      </c>
      <c r="F159" s="7" t="s">
        <v>205</v>
      </c>
      <c r="G159" s="7">
        <v>50</v>
      </c>
      <c r="H159" s="7">
        <v>55</v>
      </c>
      <c r="I159" s="7">
        <v>150</v>
      </c>
      <c r="J159" s="142">
        <v>140</v>
      </c>
      <c r="K159" s="143">
        <v>120</v>
      </c>
    </row>
    <row r="160" spans="1:11" ht="12.9">
      <c r="A160" s="11" t="s">
        <v>848</v>
      </c>
      <c r="B160" s="11"/>
      <c r="C160" s="15" t="s">
        <v>655</v>
      </c>
      <c r="D160" s="5"/>
      <c r="E160" s="6" t="s">
        <v>283</v>
      </c>
      <c r="F160" s="7">
        <v>5</v>
      </c>
      <c r="G160" s="7">
        <v>30</v>
      </c>
      <c r="H160" s="7">
        <v>35</v>
      </c>
      <c r="I160" s="7">
        <v>30</v>
      </c>
      <c r="J160" s="142">
        <v>35</v>
      </c>
      <c r="K160" s="143">
        <v>40</v>
      </c>
    </row>
    <row r="161" spans="1:11" ht="12.9">
      <c r="A161" s="12" t="s">
        <v>258</v>
      </c>
      <c r="B161" s="11"/>
      <c r="C161" s="15" t="s">
        <v>128</v>
      </c>
      <c r="D161" s="5"/>
      <c r="E161" s="6" t="s">
        <v>283</v>
      </c>
      <c r="F161" s="7"/>
      <c r="G161" s="7">
        <v>30</v>
      </c>
      <c r="H161" s="7">
        <v>35</v>
      </c>
      <c r="I161" s="7">
        <v>35</v>
      </c>
      <c r="J161" s="142">
        <v>30</v>
      </c>
      <c r="K161" s="143">
        <v>30</v>
      </c>
    </row>
    <row r="162" spans="1:11" ht="12.9">
      <c r="A162" s="12" t="s">
        <v>797</v>
      </c>
      <c r="B162" s="11"/>
      <c r="C162" s="15" t="s">
        <v>179</v>
      </c>
      <c r="D162" s="5"/>
      <c r="E162" s="6" t="s">
        <v>834</v>
      </c>
      <c r="F162" s="7"/>
      <c r="G162" s="7">
        <v>25</v>
      </c>
      <c r="H162" s="7">
        <v>26</v>
      </c>
      <c r="I162" s="7">
        <v>18</v>
      </c>
      <c r="J162" s="142">
        <v>20</v>
      </c>
      <c r="K162" s="143">
        <v>20</v>
      </c>
    </row>
    <row r="163" spans="1:11" ht="12.9">
      <c r="A163" s="11" t="s">
        <v>178</v>
      </c>
      <c r="B163" s="11"/>
      <c r="C163" s="15" t="s">
        <v>180</v>
      </c>
      <c r="D163" s="5"/>
      <c r="E163" s="6" t="s">
        <v>283</v>
      </c>
      <c r="F163" s="7">
        <v>5</v>
      </c>
      <c r="G163" s="7">
        <v>0</v>
      </c>
      <c r="H163" s="7">
        <v>6</v>
      </c>
      <c r="I163" s="7"/>
      <c r="J163" s="142">
        <v>9</v>
      </c>
      <c r="K163" s="143"/>
    </row>
    <row r="164" spans="1:11" ht="25.4" customHeight="1">
      <c r="A164" s="2350" t="s">
        <v>475</v>
      </c>
      <c r="B164" s="2350"/>
      <c r="C164" s="2350" t="s">
        <v>387</v>
      </c>
      <c r="D164" s="2350"/>
      <c r="E164" s="2350"/>
      <c r="F164" s="2350"/>
      <c r="G164" s="2350"/>
      <c r="H164" s="2350"/>
      <c r="I164" s="2354"/>
      <c r="J164" s="2381"/>
      <c r="K164" s="190"/>
    </row>
    <row r="165" spans="1:11" ht="14.9" customHeight="1">
      <c r="A165" s="12" t="s">
        <v>129</v>
      </c>
      <c r="B165" s="12"/>
      <c r="C165" s="15" t="s">
        <v>130</v>
      </c>
      <c r="D165" s="17"/>
      <c r="E165" s="6" t="s">
        <v>283</v>
      </c>
      <c r="F165" s="7" t="s">
        <v>835</v>
      </c>
      <c r="G165" s="7" t="s">
        <v>835</v>
      </c>
      <c r="H165" s="142">
        <v>18</v>
      </c>
      <c r="I165" s="143">
        <v>18</v>
      </c>
      <c r="J165" s="171">
        <v>20</v>
      </c>
      <c r="K165" s="143">
        <v>23</v>
      </c>
    </row>
    <row r="166" spans="1:11" ht="12.75" customHeight="1">
      <c r="A166" s="12" t="s">
        <v>181</v>
      </c>
      <c r="B166" s="12"/>
      <c r="C166" s="15" t="s">
        <v>131</v>
      </c>
      <c r="D166" s="17"/>
      <c r="E166" s="6" t="s">
        <v>283</v>
      </c>
      <c r="F166" s="7">
        <v>50</v>
      </c>
      <c r="G166" s="7">
        <v>20</v>
      </c>
      <c r="H166" s="142">
        <v>25</v>
      </c>
      <c r="I166" s="143">
        <v>15</v>
      </c>
      <c r="J166" s="171">
        <v>20</v>
      </c>
      <c r="K166" s="143">
        <v>15</v>
      </c>
    </row>
    <row r="167" spans="1:11" ht="12.9">
      <c r="A167" s="43" t="s">
        <v>182</v>
      </c>
      <c r="B167" s="12"/>
      <c r="C167" s="15" t="s">
        <v>132</v>
      </c>
      <c r="D167" s="5"/>
      <c r="E167" s="6" t="s">
        <v>283</v>
      </c>
      <c r="F167" s="7">
        <v>17</v>
      </c>
      <c r="G167" s="7">
        <v>25</v>
      </c>
      <c r="H167" s="142">
        <v>25</v>
      </c>
      <c r="I167" s="143">
        <v>25</v>
      </c>
      <c r="J167" s="171">
        <v>25</v>
      </c>
      <c r="K167" s="143">
        <v>25</v>
      </c>
    </row>
    <row r="168" spans="1:11" ht="12.9">
      <c r="A168" s="44" t="s">
        <v>183</v>
      </c>
      <c r="B168" s="12"/>
      <c r="C168" s="15" t="s">
        <v>133</v>
      </c>
      <c r="D168" s="5"/>
      <c r="E168" s="6" t="s">
        <v>283</v>
      </c>
      <c r="F168" s="7">
        <v>20</v>
      </c>
      <c r="G168" s="7">
        <v>10</v>
      </c>
      <c r="H168" s="149">
        <v>10</v>
      </c>
      <c r="I168" s="150">
        <v>10</v>
      </c>
      <c r="J168" s="172">
        <v>10</v>
      </c>
      <c r="K168" s="143">
        <v>10</v>
      </c>
    </row>
    <row r="169" spans="1:11" ht="12.9">
      <c r="A169" s="148" t="s">
        <v>519</v>
      </c>
      <c r="B169" s="12"/>
      <c r="C169" s="15" t="s">
        <v>134</v>
      </c>
      <c r="D169" s="5"/>
      <c r="E169" s="6" t="s">
        <v>283</v>
      </c>
      <c r="F169" s="7"/>
      <c r="G169" s="142"/>
      <c r="H169" s="143">
        <v>20</v>
      </c>
      <c r="I169" s="143">
        <v>20</v>
      </c>
      <c r="J169" s="171">
        <v>25</v>
      </c>
      <c r="K169" s="143">
        <v>30</v>
      </c>
    </row>
    <row r="170" spans="1:11" ht="21" customHeight="1">
      <c r="A170" s="2346" t="s">
        <v>121</v>
      </c>
      <c r="B170" s="2346"/>
      <c r="C170" s="2346"/>
      <c r="D170" s="2346"/>
      <c r="E170" s="2346"/>
      <c r="F170" s="2346"/>
      <c r="G170" s="2346"/>
      <c r="H170" s="2367"/>
      <c r="I170" s="2367"/>
      <c r="J170" s="2368"/>
      <c r="K170" s="186"/>
    </row>
    <row r="171" spans="1:11" ht="12.75" customHeight="1">
      <c r="A171" s="2348" t="s">
        <v>829</v>
      </c>
      <c r="B171" s="2348"/>
      <c r="C171" s="2348"/>
      <c r="D171" s="2348"/>
      <c r="E171" s="2348"/>
      <c r="F171" s="2348"/>
      <c r="G171" s="2348"/>
      <c r="H171" s="2348"/>
      <c r="I171" s="2348"/>
      <c r="J171" s="2349"/>
      <c r="K171" s="187"/>
    </row>
    <row r="172" spans="1:11" ht="12.75" customHeight="1">
      <c r="A172" s="2348" t="s">
        <v>281</v>
      </c>
      <c r="B172" s="2348"/>
      <c r="C172" s="2348"/>
      <c r="D172" s="2348"/>
      <c r="E172" s="2348"/>
      <c r="F172" s="2348"/>
      <c r="G172" s="2348"/>
      <c r="H172" s="2348"/>
      <c r="I172" s="2348"/>
      <c r="J172" s="2349"/>
      <c r="K172" s="187"/>
    </row>
    <row r="173" spans="1:11" ht="25.75">
      <c r="A173" s="14" t="s">
        <v>191</v>
      </c>
      <c r="B173" s="78"/>
      <c r="C173" s="4" t="s">
        <v>656</v>
      </c>
      <c r="D173" s="33"/>
      <c r="E173" s="34" t="s">
        <v>456</v>
      </c>
      <c r="F173" s="4">
        <v>100</v>
      </c>
      <c r="G173" s="4">
        <v>100</v>
      </c>
      <c r="H173" s="4">
        <v>85</v>
      </c>
      <c r="I173" s="4">
        <v>65</v>
      </c>
      <c r="J173" s="167">
        <v>85</v>
      </c>
      <c r="K173" s="156">
        <v>85</v>
      </c>
    </row>
    <row r="174" spans="1:11">
      <c r="A174" s="2352" t="s">
        <v>113</v>
      </c>
      <c r="B174" s="2352"/>
      <c r="C174" s="2352"/>
      <c r="D174" s="2352"/>
      <c r="E174" s="2352"/>
      <c r="F174" s="2352"/>
      <c r="G174" s="2352"/>
      <c r="H174" s="2352"/>
      <c r="I174" s="2352"/>
      <c r="J174" s="2353"/>
      <c r="K174" s="188"/>
    </row>
    <row r="175" spans="1:11" ht="15" customHeight="1">
      <c r="A175" s="2370" t="s">
        <v>444</v>
      </c>
      <c r="B175" s="2370"/>
      <c r="C175" s="2370"/>
      <c r="D175" s="2370"/>
      <c r="E175" s="2370"/>
      <c r="F175" s="2370"/>
      <c r="G175" s="2370"/>
      <c r="H175" s="2370"/>
      <c r="I175" s="2370"/>
      <c r="J175" s="2371"/>
      <c r="K175" s="194"/>
    </row>
    <row r="176" spans="1:11" ht="12.75" customHeight="1">
      <c r="A176" s="16" t="s">
        <v>86</v>
      </c>
      <c r="B176" s="16"/>
      <c r="C176" s="15" t="s">
        <v>856</v>
      </c>
      <c r="D176" s="5"/>
      <c r="E176" s="6" t="s">
        <v>283</v>
      </c>
      <c r="F176" s="7"/>
      <c r="G176" s="7">
        <v>7</v>
      </c>
      <c r="H176" s="7">
        <v>6</v>
      </c>
      <c r="I176" s="7">
        <v>7</v>
      </c>
      <c r="J176" s="142">
        <v>7</v>
      </c>
      <c r="K176" s="143">
        <v>8</v>
      </c>
    </row>
    <row r="177" spans="1:11" ht="12.75" customHeight="1">
      <c r="A177" s="16" t="s">
        <v>192</v>
      </c>
      <c r="B177" s="16"/>
      <c r="C177" s="15" t="s">
        <v>0</v>
      </c>
      <c r="D177" s="5"/>
      <c r="E177" s="6" t="s">
        <v>283</v>
      </c>
      <c r="F177" s="7"/>
      <c r="G177" s="7"/>
      <c r="H177" s="7">
        <v>18</v>
      </c>
      <c r="I177" s="7">
        <v>18</v>
      </c>
      <c r="J177" s="142">
        <v>18</v>
      </c>
      <c r="K177" s="143">
        <v>19</v>
      </c>
    </row>
    <row r="178" spans="1:11" ht="12.75" customHeight="1">
      <c r="A178" s="16" t="s">
        <v>521</v>
      </c>
      <c r="B178" s="16"/>
      <c r="C178" s="15" t="s">
        <v>522</v>
      </c>
      <c r="D178" s="5"/>
      <c r="E178" s="6" t="s">
        <v>283</v>
      </c>
      <c r="F178" s="7"/>
      <c r="G178" s="7"/>
      <c r="H178" s="7">
        <v>0</v>
      </c>
      <c r="I178" s="7">
        <v>2</v>
      </c>
      <c r="J178" s="142">
        <v>4</v>
      </c>
      <c r="K178" s="143">
        <v>5</v>
      </c>
    </row>
    <row r="179" spans="1:11" ht="12.75" customHeight="1">
      <c r="A179" s="2348" t="s">
        <v>445</v>
      </c>
      <c r="B179" s="2348"/>
      <c r="C179" s="2348"/>
      <c r="D179" s="2348"/>
      <c r="E179" s="2348"/>
      <c r="F179" s="2348"/>
      <c r="G179" s="2348"/>
      <c r="H179" s="2348"/>
      <c r="I179" s="2348"/>
      <c r="J179" s="2349"/>
      <c r="K179" s="187"/>
    </row>
    <row r="180" spans="1:11" ht="12.75" customHeight="1">
      <c r="A180" s="2348" t="s">
        <v>281</v>
      </c>
      <c r="B180" s="2348"/>
      <c r="C180" s="2348"/>
      <c r="D180" s="2348"/>
      <c r="E180" s="2348"/>
      <c r="F180" s="2348"/>
      <c r="G180" s="2348"/>
      <c r="H180" s="2348"/>
      <c r="I180" s="2348"/>
      <c r="J180" s="2349"/>
      <c r="K180" s="187"/>
    </row>
    <row r="181" spans="1:11" ht="12.75" customHeight="1">
      <c r="A181" s="2369" t="s">
        <v>857</v>
      </c>
      <c r="B181" s="8"/>
      <c r="C181" s="15" t="s">
        <v>858</v>
      </c>
      <c r="D181" s="18"/>
      <c r="E181" s="6" t="s">
        <v>283</v>
      </c>
      <c r="F181" s="19">
        <v>2</v>
      </c>
      <c r="G181" s="7">
        <v>3</v>
      </c>
      <c r="H181" s="7">
        <v>3</v>
      </c>
      <c r="I181" s="7">
        <v>2</v>
      </c>
      <c r="J181" s="142">
        <v>2</v>
      </c>
      <c r="K181" s="143">
        <v>3</v>
      </c>
    </row>
    <row r="182" spans="1:11" ht="12.9">
      <c r="A182" s="2369"/>
      <c r="B182" s="8"/>
      <c r="C182" s="15" t="s">
        <v>859</v>
      </c>
      <c r="D182" s="5"/>
      <c r="E182" s="6" t="s">
        <v>283</v>
      </c>
      <c r="F182" s="19">
        <v>20</v>
      </c>
      <c r="G182" s="7">
        <v>36</v>
      </c>
      <c r="H182" s="7">
        <v>36</v>
      </c>
      <c r="I182" s="7">
        <v>24</v>
      </c>
      <c r="J182" s="142">
        <v>24</v>
      </c>
      <c r="K182" s="143">
        <v>36</v>
      </c>
    </row>
    <row r="183" spans="1:11">
      <c r="A183" s="2352" t="s">
        <v>113</v>
      </c>
      <c r="B183" s="2352"/>
      <c r="C183" s="2352"/>
      <c r="D183" s="2352"/>
      <c r="E183" s="2352"/>
      <c r="F183" s="2352"/>
      <c r="G183" s="2352"/>
      <c r="H183" s="2352"/>
      <c r="I183" s="2352"/>
      <c r="J183" s="2353"/>
      <c r="K183" s="188"/>
    </row>
    <row r="184" spans="1:11" ht="15.75" customHeight="1">
      <c r="A184" s="2364" t="s">
        <v>263</v>
      </c>
      <c r="B184" s="2364"/>
      <c r="C184" s="2364"/>
      <c r="D184" s="2364"/>
      <c r="E184" s="2364"/>
      <c r="F184" s="2364"/>
      <c r="G184" s="2364"/>
      <c r="H184" s="2364"/>
      <c r="I184" s="2364"/>
      <c r="J184" s="2365"/>
      <c r="K184" s="194"/>
    </row>
    <row r="185" spans="1:11" ht="12.9">
      <c r="A185" s="12" t="s">
        <v>800</v>
      </c>
      <c r="B185" s="12"/>
      <c r="C185" s="15" t="s">
        <v>801</v>
      </c>
      <c r="D185" s="5"/>
      <c r="E185" s="6" t="s">
        <v>283</v>
      </c>
      <c r="F185" s="19">
        <v>3</v>
      </c>
      <c r="G185" s="19">
        <v>5</v>
      </c>
      <c r="H185" s="19">
        <v>9</v>
      </c>
      <c r="I185" s="19">
        <v>9</v>
      </c>
      <c r="J185" s="173">
        <v>9</v>
      </c>
      <c r="K185" s="195">
        <v>10</v>
      </c>
    </row>
    <row r="186" spans="1:11" ht="17.25" customHeight="1">
      <c r="A186" s="12" t="s">
        <v>662</v>
      </c>
      <c r="B186" s="12"/>
      <c r="C186" s="15" t="s">
        <v>663</v>
      </c>
      <c r="D186" s="5"/>
      <c r="E186" s="6" t="s">
        <v>283</v>
      </c>
      <c r="F186" s="19">
        <v>2</v>
      </c>
      <c r="G186" s="19">
        <v>2</v>
      </c>
      <c r="H186" s="19">
        <v>1</v>
      </c>
      <c r="I186" s="19">
        <v>0</v>
      </c>
      <c r="J186" s="173">
        <v>0</v>
      </c>
      <c r="K186" s="195">
        <v>0</v>
      </c>
    </row>
    <row r="187" spans="1:11" ht="12.9">
      <c r="A187" s="12" t="s">
        <v>51</v>
      </c>
      <c r="B187" s="12"/>
      <c r="C187" s="15" t="s">
        <v>52</v>
      </c>
      <c r="D187" s="5"/>
      <c r="E187" s="6" t="s">
        <v>283</v>
      </c>
      <c r="F187" s="19">
        <v>1</v>
      </c>
      <c r="G187" s="19">
        <v>2</v>
      </c>
      <c r="H187" s="19">
        <v>2</v>
      </c>
      <c r="I187" s="19">
        <v>2</v>
      </c>
      <c r="J187" s="173">
        <v>2</v>
      </c>
      <c r="K187" s="195">
        <v>3</v>
      </c>
    </row>
    <row r="188" spans="1:11" ht="12.9">
      <c r="A188" s="2348" t="s">
        <v>495</v>
      </c>
      <c r="B188" s="2348"/>
      <c r="C188" s="2348"/>
      <c r="D188" s="2348"/>
      <c r="E188" s="2348"/>
      <c r="F188" s="2348"/>
      <c r="G188" s="2348"/>
      <c r="H188" s="2348"/>
      <c r="I188" s="2348"/>
      <c r="J188" s="2349"/>
      <c r="K188" s="187"/>
    </row>
    <row r="189" spans="1:11" ht="12.9">
      <c r="A189" s="2348" t="s">
        <v>281</v>
      </c>
      <c r="B189" s="2348"/>
      <c r="C189" s="2348"/>
      <c r="D189" s="2348"/>
      <c r="E189" s="2348"/>
      <c r="F189" s="2348"/>
      <c r="G189" s="2348"/>
      <c r="H189" s="2348"/>
      <c r="I189" s="2348"/>
      <c r="J189" s="2349"/>
      <c r="K189" s="187"/>
    </row>
    <row r="190" spans="1:11" ht="13.5" customHeight="1">
      <c r="A190" s="14" t="s">
        <v>264</v>
      </c>
      <c r="B190" s="14"/>
      <c r="C190" s="15" t="s">
        <v>446</v>
      </c>
      <c r="D190" s="5"/>
      <c r="E190" s="6" t="s">
        <v>456</v>
      </c>
      <c r="F190" s="25">
        <v>5</v>
      </c>
      <c r="G190" s="41">
        <v>2</v>
      </c>
      <c r="H190" s="41">
        <v>2</v>
      </c>
      <c r="I190" s="41">
        <v>2</v>
      </c>
      <c r="J190" s="174">
        <v>2</v>
      </c>
      <c r="K190" s="277">
        <v>2</v>
      </c>
    </row>
    <row r="191" spans="1:11" ht="26.25" customHeight="1">
      <c r="A191" s="14" t="s">
        <v>830</v>
      </c>
      <c r="B191" s="14"/>
      <c r="C191" s="4" t="s">
        <v>265</v>
      </c>
      <c r="D191" s="33"/>
      <c r="E191" s="6" t="s">
        <v>283</v>
      </c>
      <c r="F191" s="48">
        <v>2</v>
      </c>
      <c r="G191" s="48">
        <v>2</v>
      </c>
      <c r="H191" s="42">
        <v>50</v>
      </c>
      <c r="I191" s="42">
        <v>50</v>
      </c>
      <c r="J191" s="175">
        <v>50</v>
      </c>
      <c r="K191" s="276">
        <v>50</v>
      </c>
    </row>
    <row r="192" spans="1:11" ht="13.5" customHeight="1">
      <c r="A192" s="14" t="s">
        <v>831</v>
      </c>
      <c r="B192" s="14"/>
      <c r="C192" s="15" t="s">
        <v>674</v>
      </c>
      <c r="D192" s="5"/>
      <c r="E192" s="6" t="s">
        <v>456</v>
      </c>
      <c r="F192" s="19"/>
      <c r="G192" s="19">
        <v>100</v>
      </c>
      <c r="H192" s="19">
        <v>100</v>
      </c>
      <c r="I192" s="19">
        <v>100</v>
      </c>
      <c r="J192" s="173">
        <v>100</v>
      </c>
      <c r="K192" s="195">
        <v>100</v>
      </c>
    </row>
    <row r="193" spans="1:11" ht="13.5" customHeight="1">
      <c r="A193" s="14" t="s">
        <v>695</v>
      </c>
      <c r="B193" s="14"/>
      <c r="C193" s="15" t="s">
        <v>696</v>
      </c>
      <c r="D193" s="5"/>
      <c r="E193" s="6" t="s">
        <v>283</v>
      </c>
      <c r="F193" s="19"/>
      <c r="G193" s="19"/>
      <c r="H193" s="19">
        <v>3</v>
      </c>
      <c r="I193" s="19">
        <v>5</v>
      </c>
      <c r="J193" s="173">
        <v>5</v>
      </c>
      <c r="K193" s="195">
        <v>5</v>
      </c>
    </row>
    <row r="194" spans="1:11" ht="13.5" customHeight="1">
      <c r="A194" s="2352" t="s">
        <v>113</v>
      </c>
      <c r="B194" s="2352"/>
      <c r="C194" s="2352"/>
      <c r="D194" s="2352"/>
      <c r="E194" s="2352"/>
      <c r="F194" s="2352"/>
      <c r="G194" s="2352"/>
      <c r="H194" s="2352"/>
      <c r="I194" s="2352"/>
      <c r="J194" s="2353"/>
      <c r="K194" s="188"/>
    </row>
    <row r="195" spans="1:11" ht="12.9">
      <c r="A195" s="2364" t="s">
        <v>437</v>
      </c>
      <c r="B195" s="2364"/>
      <c r="C195" s="2364"/>
      <c r="D195" s="2364"/>
      <c r="E195" s="2364"/>
      <c r="F195" s="2364"/>
      <c r="G195" s="2364"/>
      <c r="H195" s="2364"/>
      <c r="I195" s="2364"/>
      <c r="J195" s="2365"/>
      <c r="K195" s="194"/>
    </row>
    <row r="196" spans="1:11" ht="13.5" customHeight="1">
      <c r="A196" s="12" t="s">
        <v>307</v>
      </c>
      <c r="B196" s="12"/>
      <c r="C196" s="15" t="s">
        <v>493</v>
      </c>
      <c r="D196" s="5"/>
      <c r="E196" s="6" t="s">
        <v>283</v>
      </c>
      <c r="F196" s="19">
        <v>5</v>
      </c>
      <c r="G196" s="19">
        <v>6</v>
      </c>
      <c r="H196" s="19">
        <v>6</v>
      </c>
      <c r="I196" s="19">
        <v>6</v>
      </c>
      <c r="J196" s="173">
        <v>6</v>
      </c>
      <c r="K196" s="195">
        <v>6</v>
      </c>
    </row>
    <row r="197" spans="1:11" ht="13.5" customHeight="1">
      <c r="A197" s="12" t="s">
        <v>39</v>
      </c>
      <c r="B197" s="12"/>
      <c r="C197" s="15" t="s">
        <v>105</v>
      </c>
      <c r="D197" s="5"/>
      <c r="E197" s="6" t="s">
        <v>249</v>
      </c>
      <c r="F197" s="19" t="s">
        <v>65</v>
      </c>
      <c r="G197" s="19" t="s">
        <v>65</v>
      </c>
      <c r="H197" s="19" t="s">
        <v>65</v>
      </c>
      <c r="I197" s="19" t="s">
        <v>65</v>
      </c>
      <c r="J197" s="173" t="s">
        <v>65</v>
      </c>
      <c r="K197" s="195" t="s">
        <v>65</v>
      </c>
    </row>
    <row r="198" spans="1:11" ht="12.9">
      <c r="A198" s="2364" t="s">
        <v>496</v>
      </c>
      <c r="B198" s="2364"/>
      <c r="C198" s="2364"/>
      <c r="D198" s="2364"/>
      <c r="E198" s="2364"/>
      <c r="F198" s="2364"/>
      <c r="G198" s="2364"/>
      <c r="H198" s="2364"/>
      <c r="I198" s="2364"/>
      <c r="J198" s="2365"/>
      <c r="K198" s="194"/>
    </row>
    <row r="199" spans="1:11" ht="15" customHeight="1">
      <c r="A199" s="12" t="s">
        <v>688</v>
      </c>
      <c r="B199" s="12"/>
      <c r="C199" s="15" t="s">
        <v>494</v>
      </c>
      <c r="D199" s="5"/>
      <c r="E199" s="34" t="s">
        <v>283</v>
      </c>
      <c r="F199" s="42">
        <v>85</v>
      </c>
      <c r="G199" s="42">
        <v>80</v>
      </c>
      <c r="H199" s="42">
        <v>10</v>
      </c>
      <c r="I199" s="42">
        <v>10</v>
      </c>
      <c r="J199" s="175">
        <v>10</v>
      </c>
      <c r="K199" s="276">
        <v>10</v>
      </c>
    </row>
    <row r="200" spans="1:11" ht="15" customHeight="1">
      <c r="A200" s="12" t="s">
        <v>43</v>
      </c>
      <c r="B200" s="12"/>
      <c r="C200" s="15" t="s">
        <v>692</v>
      </c>
      <c r="D200" s="5"/>
      <c r="E200" s="34" t="s">
        <v>283</v>
      </c>
      <c r="F200" s="42"/>
      <c r="G200" s="42"/>
      <c r="H200" s="42">
        <v>5</v>
      </c>
      <c r="I200" s="42">
        <v>5</v>
      </c>
      <c r="J200" s="175">
        <v>5</v>
      </c>
      <c r="K200" s="276">
        <v>5</v>
      </c>
    </row>
    <row r="201" spans="1:11" ht="15" customHeight="1">
      <c r="A201" s="12" t="s">
        <v>44</v>
      </c>
      <c r="B201" s="12"/>
      <c r="C201" s="15" t="s">
        <v>693</v>
      </c>
      <c r="D201" s="5"/>
      <c r="E201" s="34" t="s">
        <v>283</v>
      </c>
      <c r="F201" s="42"/>
      <c r="G201" s="42"/>
      <c r="H201" s="42">
        <v>5</v>
      </c>
      <c r="I201" s="42">
        <v>5</v>
      </c>
      <c r="J201" s="175">
        <v>5</v>
      </c>
      <c r="K201" s="276">
        <v>5</v>
      </c>
    </row>
    <row r="202" spans="1:11" ht="41.25" customHeight="1">
      <c r="A202" s="12" t="s">
        <v>691</v>
      </c>
      <c r="B202" s="12"/>
      <c r="C202" s="15" t="s">
        <v>694</v>
      </c>
      <c r="D202" s="5"/>
      <c r="E202" s="34" t="s">
        <v>283</v>
      </c>
      <c r="F202" s="42"/>
      <c r="G202" s="42"/>
      <c r="H202" s="42">
        <v>10</v>
      </c>
      <c r="I202" s="42">
        <v>10</v>
      </c>
      <c r="J202" s="175">
        <v>10</v>
      </c>
      <c r="K202" s="276">
        <v>10</v>
      </c>
    </row>
    <row r="203" spans="1:11" ht="17.899999999999999" customHeight="1">
      <c r="A203" s="2346" t="s">
        <v>53</v>
      </c>
      <c r="B203" s="2346"/>
      <c r="C203" s="2346"/>
      <c r="D203" s="2346"/>
      <c r="E203" s="2346"/>
      <c r="F203" s="2346"/>
      <c r="G203" s="2346"/>
      <c r="H203" s="2346"/>
      <c r="I203" s="2346"/>
      <c r="J203" s="2347"/>
      <c r="K203" s="186"/>
    </row>
    <row r="204" spans="1:11" ht="12.75" customHeight="1">
      <c r="A204" s="2349" t="s">
        <v>54</v>
      </c>
      <c r="B204" s="2366"/>
      <c r="C204" s="2366"/>
      <c r="D204" s="2366"/>
      <c r="E204" s="2366"/>
      <c r="F204" s="2366"/>
      <c r="G204" s="2366"/>
      <c r="H204" s="2366"/>
      <c r="I204" s="2366"/>
      <c r="J204" s="2366"/>
      <c r="K204" s="187"/>
    </row>
    <row r="205" spans="1:11" ht="12.75" customHeight="1">
      <c r="A205" s="2348" t="s">
        <v>281</v>
      </c>
      <c r="B205" s="2348"/>
      <c r="C205" s="2348"/>
      <c r="D205" s="2348"/>
      <c r="E205" s="2348"/>
      <c r="F205" s="2348"/>
      <c r="G205" s="2348"/>
      <c r="H205" s="2348"/>
      <c r="I205" s="2348"/>
      <c r="J205" s="2349"/>
      <c r="K205" s="187"/>
    </row>
    <row r="206" spans="1:11" ht="12.9">
      <c r="A206" s="8" t="s">
        <v>55</v>
      </c>
      <c r="B206" s="8"/>
      <c r="C206" s="15" t="s">
        <v>56</v>
      </c>
      <c r="D206" s="5"/>
      <c r="E206" s="9" t="s">
        <v>456</v>
      </c>
      <c r="F206" s="7">
        <v>90</v>
      </c>
      <c r="G206" s="7">
        <v>90</v>
      </c>
      <c r="H206" s="7">
        <v>90</v>
      </c>
      <c r="I206" s="7">
        <v>90</v>
      </c>
      <c r="J206" s="142">
        <v>90</v>
      </c>
      <c r="K206" s="142">
        <v>90</v>
      </c>
    </row>
    <row r="207" spans="1:11" ht="17.25" customHeight="1">
      <c r="A207" s="51" t="s">
        <v>344</v>
      </c>
      <c r="B207" s="132"/>
      <c r="C207" s="15" t="s">
        <v>306</v>
      </c>
      <c r="D207" s="133"/>
      <c r="E207" s="6" t="s">
        <v>283</v>
      </c>
      <c r="F207" s="7">
        <v>110</v>
      </c>
      <c r="G207" s="7">
        <v>83</v>
      </c>
      <c r="H207" s="7">
        <v>103</v>
      </c>
      <c r="I207" s="7">
        <v>100</v>
      </c>
      <c r="J207" s="142">
        <v>100</v>
      </c>
      <c r="K207" s="142">
        <v>100</v>
      </c>
    </row>
    <row r="208" spans="1:11" ht="17.25" customHeight="1">
      <c r="A208" s="51" t="s">
        <v>200</v>
      </c>
      <c r="B208" s="138"/>
      <c r="C208" s="15" t="s">
        <v>199</v>
      </c>
      <c r="D208" s="139"/>
      <c r="E208" s="6" t="s">
        <v>283</v>
      </c>
      <c r="F208" s="7">
        <v>190</v>
      </c>
      <c r="G208" s="7">
        <v>150</v>
      </c>
      <c r="H208" s="7">
        <v>198</v>
      </c>
      <c r="I208" s="7">
        <v>195</v>
      </c>
      <c r="J208" s="142">
        <v>1190</v>
      </c>
      <c r="K208" s="142">
        <v>1190</v>
      </c>
    </row>
    <row r="209" spans="1:11" ht="12" customHeight="1">
      <c r="A209" s="51" t="s">
        <v>452</v>
      </c>
      <c r="B209" s="140"/>
      <c r="C209" s="15" t="s">
        <v>405</v>
      </c>
      <c r="D209" s="141"/>
      <c r="E209" s="6" t="s">
        <v>283</v>
      </c>
      <c r="F209" s="7">
        <v>920</v>
      </c>
      <c r="G209" s="7">
        <v>960</v>
      </c>
      <c r="H209" s="7">
        <v>1000</v>
      </c>
      <c r="I209" s="7">
        <v>1100</v>
      </c>
      <c r="J209" s="142">
        <v>1150</v>
      </c>
      <c r="K209" s="142">
        <v>1150</v>
      </c>
    </row>
    <row r="210" spans="1:11" ht="12" customHeight="1">
      <c r="A210" s="51" t="s">
        <v>678</v>
      </c>
      <c r="B210" s="140"/>
      <c r="C210" s="15" t="s">
        <v>745</v>
      </c>
      <c r="D210" s="141"/>
      <c r="E210" s="6" t="s">
        <v>283</v>
      </c>
      <c r="F210" s="7">
        <v>110</v>
      </c>
      <c r="G210" s="7">
        <v>95</v>
      </c>
      <c r="H210" s="7">
        <v>80</v>
      </c>
      <c r="I210" s="7">
        <v>100</v>
      </c>
      <c r="J210" s="142">
        <v>95</v>
      </c>
      <c r="K210" s="142">
        <v>95</v>
      </c>
    </row>
    <row r="211" spans="1:11" ht="17.25" customHeight="1">
      <c r="A211" s="134" t="s">
        <v>806</v>
      </c>
      <c r="B211" s="134"/>
      <c r="C211" s="15" t="s">
        <v>746</v>
      </c>
      <c r="D211" s="135"/>
      <c r="E211" s="136" t="s">
        <v>283</v>
      </c>
      <c r="F211" s="137">
        <v>4370</v>
      </c>
      <c r="G211" s="137">
        <v>10560</v>
      </c>
      <c r="H211" s="137">
        <v>9000</v>
      </c>
      <c r="I211" s="137">
        <v>10100</v>
      </c>
      <c r="J211" s="165">
        <v>10200</v>
      </c>
      <c r="K211" s="165">
        <v>10200</v>
      </c>
    </row>
    <row r="212" spans="1:11">
      <c r="A212" s="2352" t="s">
        <v>113</v>
      </c>
      <c r="B212" s="2352"/>
      <c r="C212" s="2352"/>
      <c r="D212" s="2352"/>
      <c r="E212" s="2352"/>
      <c r="F212" s="2352"/>
      <c r="G212" s="2352"/>
      <c r="H212" s="2352"/>
      <c r="I212" s="2352"/>
      <c r="J212" s="2353"/>
      <c r="K212" s="188"/>
    </row>
    <row r="213" spans="1:11" ht="12.75" customHeight="1">
      <c r="A213" s="2350" t="s">
        <v>556</v>
      </c>
      <c r="B213" s="2350"/>
      <c r="C213" s="2350"/>
      <c r="D213" s="2350"/>
      <c r="E213" s="2350"/>
      <c r="F213" s="2350"/>
      <c r="G213" s="2350"/>
      <c r="H213" s="2350"/>
      <c r="I213" s="2350"/>
      <c r="J213" s="2351"/>
      <c r="K213" s="190"/>
    </row>
    <row r="214" spans="1:11" ht="12.75" customHeight="1">
      <c r="A214" s="12" t="s">
        <v>271</v>
      </c>
      <c r="B214" s="27"/>
      <c r="C214" s="15" t="s">
        <v>842</v>
      </c>
      <c r="D214" s="27"/>
      <c r="E214" s="6" t="s">
        <v>283</v>
      </c>
      <c r="F214" s="7">
        <v>2</v>
      </c>
      <c r="G214" s="7">
        <v>2</v>
      </c>
      <c r="H214" s="7">
        <v>2</v>
      </c>
      <c r="I214" s="7">
        <v>2</v>
      </c>
      <c r="J214" s="142">
        <v>2</v>
      </c>
      <c r="K214" s="143">
        <v>2</v>
      </c>
    </row>
    <row r="215" spans="1:11" ht="12.75" customHeight="1">
      <c r="A215" s="2350" t="s">
        <v>679</v>
      </c>
      <c r="B215" s="2350"/>
      <c r="C215" s="2350"/>
      <c r="D215" s="2350"/>
      <c r="E215" s="2350"/>
      <c r="F215" s="2350"/>
      <c r="G215" s="2350"/>
      <c r="H215" s="2350"/>
      <c r="I215" s="2350"/>
      <c r="J215" s="2351"/>
      <c r="K215" s="190"/>
    </row>
    <row r="216" spans="1:11" ht="12.9">
      <c r="A216" s="12" t="s">
        <v>803</v>
      </c>
      <c r="B216" s="12"/>
      <c r="C216" s="15" t="s">
        <v>680</v>
      </c>
      <c r="D216" s="5"/>
      <c r="E216" s="6" t="s">
        <v>283</v>
      </c>
      <c r="F216" s="7">
        <v>1270</v>
      </c>
      <c r="G216" s="7">
        <v>1089</v>
      </c>
      <c r="H216" s="7">
        <v>1090</v>
      </c>
      <c r="I216" s="7">
        <v>1200</v>
      </c>
      <c r="J216" s="142">
        <v>1300</v>
      </c>
      <c r="K216" s="143">
        <v>1400</v>
      </c>
    </row>
    <row r="217" spans="1:11" ht="12.9">
      <c r="A217" s="12" t="s">
        <v>681</v>
      </c>
      <c r="B217" s="12"/>
      <c r="C217" s="15" t="s">
        <v>682</v>
      </c>
      <c r="D217" s="5"/>
      <c r="E217" s="6" t="s">
        <v>283</v>
      </c>
      <c r="F217" s="7">
        <v>77</v>
      </c>
      <c r="G217" s="7">
        <v>56</v>
      </c>
      <c r="H217" s="7">
        <v>58</v>
      </c>
      <c r="I217" s="7">
        <v>40</v>
      </c>
      <c r="J217" s="142">
        <v>45</v>
      </c>
      <c r="K217" s="143">
        <v>50</v>
      </c>
    </row>
    <row r="218" spans="1:11" ht="25.75">
      <c r="A218" s="12" t="s">
        <v>355</v>
      </c>
      <c r="B218" s="12"/>
      <c r="C218" s="15" t="s">
        <v>356</v>
      </c>
      <c r="D218" s="5"/>
      <c r="E218" s="6" t="s">
        <v>283</v>
      </c>
      <c r="F218" s="7">
        <v>5230</v>
      </c>
      <c r="G218" s="7">
        <v>5497</v>
      </c>
      <c r="H218" s="7">
        <v>3000</v>
      </c>
      <c r="I218" s="7">
        <v>2500</v>
      </c>
      <c r="J218" s="142">
        <v>2600</v>
      </c>
      <c r="K218" s="143">
        <v>3000</v>
      </c>
    </row>
    <row r="219" spans="1:11" ht="12.9">
      <c r="A219" s="12" t="s">
        <v>313</v>
      </c>
      <c r="B219" s="12"/>
      <c r="C219" s="15" t="s">
        <v>314</v>
      </c>
      <c r="D219" s="5"/>
      <c r="E219" s="6" t="s">
        <v>283</v>
      </c>
      <c r="F219" s="7">
        <v>550</v>
      </c>
      <c r="G219" s="7">
        <v>990</v>
      </c>
      <c r="H219" s="7">
        <v>1500</v>
      </c>
      <c r="I219" s="7">
        <v>1800</v>
      </c>
      <c r="J219" s="142">
        <v>1800</v>
      </c>
      <c r="K219" s="143">
        <v>1800</v>
      </c>
    </row>
    <row r="220" spans="1:11" ht="12.9">
      <c r="A220" s="12" t="s">
        <v>275</v>
      </c>
      <c r="B220" s="12"/>
      <c r="C220" s="15" t="s">
        <v>274</v>
      </c>
      <c r="D220" s="5"/>
      <c r="E220" s="6" t="s">
        <v>283</v>
      </c>
      <c r="F220" s="7">
        <v>1800</v>
      </c>
      <c r="G220" s="7">
        <v>1405</v>
      </c>
      <c r="H220" s="7">
        <v>1405</v>
      </c>
      <c r="I220" s="7">
        <v>1300</v>
      </c>
      <c r="J220" s="142">
        <v>1300</v>
      </c>
      <c r="K220" s="143">
        <v>1300</v>
      </c>
    </row>
    <row r="221" spans="1:11" ht="12.9">
      <c r="A221" s="12" t="s">
        <v>591</v>
      </c>
      <c r="B221" s="12"/>
      <c r="C221" s="15" t="s">
        <v>276</v>
      </c>
      <c r="D221" s="5"/>
      <c r="E221" s="6" t="s">
        <v>283</v>
      </c>
      <c r="F221" s="7">
        <v>94</v>
      </c>
      <c r="G221" s="7">
        <v>93</v>
      </c>
      <c r="H221" s="7">
        <v>96</v>
      </c>
      <c r="I221" s="7">
        <v>95</v>
      </c>
      <c r="J221" s="142">
        <v>100</v>
      </c>
      <c r="K221" s="143">
        <v>100</v>
      </c>
    </row>
    <row r="222" spans="1:11" ht="12.9">
      <c r="A222" s="12" t="s">
        <v>593</v>
      </c>
      <c r="B222" s="12"/>
      <c r="C222" s="15" t="s">
        <v>592</v>
      </c>
      <c r="D222" s="5"/>
      <c r="E222" s="6" t="s">
        <v>283</v>
      </c>
      <c r="F222" s="7">
        <v>900</v>
      </c>
      <c r="G222" s="7">
        <v>610</v>
      </c>
      <c r="H222" s="7">
        <v>584</v>
      </c>
      <c r="I222" s="7">
        <v>540</v>
      </c>
      <c r="J222" s="142">
        <v>500</v>
      </c>
      <c r="K222" s="143">
        <v>500</v>
      </c>
    </row>
    <row r="223" spans="1:11" ht="12.75" customHeight="1">
      <c r="A223" s="2350" t="s">
        <v>235</v>
      </c>
      <c r="B223" s="2350"/>
      <c r="C223" s="2350"/>
      <c r="D223" s="2350"/>
      <c r="E223" s="2350"/>
      <c r="F223" s="2350"/>
      <c r="G223" s="2350"/>
      <c r="H223" s="2350"/>
      <c r="I223" s="2350"/>
      <c r="J223" s="2351"/>
      <c r="K223" s="190"/>
    </row>
    <row r="224" spans="1:11" ht="12.75" customHeight="1">
      <c r="A224" s="11" t="s">
        <v>804</v>
      </c>
      <c r="B224" s="27"/>
      <c r="C224" s="15" t="s">
        <v>820</v>
      </c>
      <c r="D224" s="27"/>
      <c r="E224" s="6" t="s">
        <v>456</v>
      </c>
      <c r="F224" s="7" t="s">
        <v>6</v>
      </c>
      <c r="G224" s="7">
        <v>65</v>
      </c>
      <c r="H224" s="7">
        <v>67</v>
      </c>
      <c r="I224" s="7">
        <v>70</v>
      </c>
      <c r="J224" s="142">
        <v>75</v>
      </c>
      <c r="K224" s="143">
        <v>75</v>
      </c>
    </row>
    <row r="225" spans="1:11" ht="12.75" customHeight="1">
      <c r="A225" s="11" t="s">
        <v>16</v>
      </c>
      <c r="B225" s="27"/>
      <c r="C225" s="15" t="s">
        <v>215</v>
      </c>
      <c r="D225" s="27"/>
      <c r="E225" s="6" t="s">
        <v>283</v>
      </c>
      <c r="F225" s="7"/>
      <c r="G225" s="7"/>
      <c r="H225" s="7">
        <v>1</v>
      </c>
      <c r="I225" s="7">
        <v>0</v>
      </c>
      <c r="J225" s="142">
        <v>0</v>
      </c>
      <c r="K225" s="143">
        <v>0</v>
      </c>
    </row>
    <row r="226" spans="1:11" ht="12.9">
      <c r="A226" s="11" t="s">
        <v>819</v>
      </c>
      <c r="B226" s="11"/>
      <c r="C226" s="15" t="s">
        <v>217</v>
      </c>
      <c r="D226" s="5"/>
      <c r="E226" s="6" t="s">
        <v>283</v>
      </c>
      <c r="F226" s="7">
        <v>11</v>
      </c>
      <c r="G226" s="7">
        <v>10</v>
      </c>
      <c r="H226" s="7">
        <v>12</v>
      </c>
      <c r="I226" s="7">
        <v>13</v>
      </c>
      <c r="J226" s="142">
        <v>13</v>
      </c>
      <c r="K226" s="143">
        <v>13</v>
      </c>
    </row>
    <row r="227" spans="1:11" ht="12.9">
      <c r="A227" s="11" t="s">
        <v>821</v>
      </c>
      <c r="B227" s="11"/>
      <c r="C227" s="15" t="s">
        <v>805</v>
      </c>
      <c r="D227" s="5"/>
      <c r="E227" s="6" t="s">
        <v>283</v>
      </c>
      <c r="F227" s="7">
        <v>2</v>
      </c>
      <c r="G227" s="7">
        <v>2</v>
      </c>
      <c r="H227" s="7">
        <v>2</v>
      </c>
      <c r="I227" s="7">
        <v>2</v>
      </c>
      <c r="J227" s="142">
        <v>2</v>
      </c>
      <c r="K227" s="143">
        <v>2</v>
      </c>
    </row>
    <row r="228" spans="1:11" ht="12.9">
      <c r="A228" s="11" t="s">
        <v>216</v>
      </c>
      <c r="B228" s="11"/>
      <c r="C228" s="15" t="s">
        <v>207</v>
      </c>
      <c r="D228" s="5"/>
      <c r="E228" s="6" t="s">
        <v>283</v>
      </c>
      <c r="F228" s="7">
        <v>0</v>
      </c>
      <c r="G228" s="7">
        <v>0</v>
      </c>
      <c r="H228" s="7">
        <v>4</v>
      </c>
      <c r="I228" s="7">
        <v>5</v>
      </c>
      <c r="J228" s="142">
        <v>5</v>
      </c>
      <c r="K228" s="143">
        <v>5</v>
      </c>
    </row>
    <row r="229" spans="1:11" ht="12.9">
      <c r="A229" s="11" t="s">
        <v>738</v>
      </c>
      <c r="B229" s="11"/>
      <c r="C229" s="15" t="s">
        <v>333</v>
      </c>
      <c r="D229" s="5"/>
      <c r="E229" s="6" t="s">
        <v>283</v>
      </c>
      <c r="F229" s="7">
        <v>4</v>
      </c>
      <c r="G229" s="7">
        <v>7</v>
      </c>
      <c r="H229" s="7">
        <v>4</v>
      </c>
      <c r="I229" s="7">
        <v>5</v>
      </c>
      <c r="J229" s="142">
        <v>5</v>
      </c>
      <c r="K229" s="143">
        <v>5</v>
      </c>
    </row>
    <row r="230" spans="1:11" ht="12.9">
      <c r="A230" s="11" t="s">
        <v>221</v>
      </c>
      <c r="B230" s="11"/>
      <c r="C230" s="15" t="s">
        <v>222</v>
      </c>
      <c r="D230" s="5"/>
      <c r="E230" s="6" t="s">
        <v>283</v>
      </c>
      <c r="F230" s="7"/>
      <c r="G230" s="7"/>
      <c r="H230" s="7">
        <v>1</v>
      </c>
      <c r="I230" s="7">
        <v>0</v>
      </c>
      <c r="J230" s="142">
        <v>0</v>
      </c>
      <c r="K230" s="143">
        <v>0</v>
      </c>
    </row>
    <row r="231" spans="1:11" ht="25.75">
      <c r="A231" s="12" t="s">
        <v>223</v>
      </c>
      <c r="B231" s="11"/>
      <c r="C231" s="15" t="s">
        <v>523</v>
      </c>
      <c r="D231" s="5"/>
      <c r="E231" s="34" t="s">
        <v>283</v>
      </c>
      <c r="F231" s="4"/>
      <c r="G231" s="4"/>
      <c r="H231" s="4">
        <v>0</v>
      </c>
      <c r="I231" s="4">
        <v>0</v>
      </c>
      <c r="J231" s="167">
        <v>20</v>
      </c>
      <c r="K231" s="156">
        <v>20</v>
      </c>
    </row>
    <row r="232" spans="1:11" ht="12.75" customHeight="1">
      <c r="A232" s="2348" t="s">
        <v>609</v>
      </c>
      <c r="B232" s="2348"/>
      <c r="C232" s="2348"/>
      <c r="D232" s="2348"/>
      <c r="E232" s="2348"/>
      <c r="F232" s="2348"/>
      <c r="G232" s="2348"/>
      <c r="H232" s="2348"/>
      <c r="I232" s="2348"/>
      <c r="J232" s="2349"/>
      <c r="K232" s="187"/>
    </row>
    <row r="233" spans="1:11" ht="12.75" customHeight="1">
      <c r="A233" s="2348" t="s">
        <v>281</v>
      </c>
      <c r="B233" s="2348"/>
      <c r="C233" s="2348"/>
      <c r="D233" s="2348"/>
      <c r="E233" s="2348"/>
      <c r="F233" s="2348"/>
      <c r="G233" s="2348"/>
      <c r="H233" s="2348"/>
      <c r="I233" s="2348"/>
      <c r="J233" s="2349"/>
      <c r="K233" s="187"/>
    </row>
    <row r="234" spans="1:11" ht="12.9">
      <c r="A234" s="8" t="s">
        <v>393</v>
      </c>
      <c r="B234" s="8"/>
      <c r="C234" s="15" t="s">
        <v>610</v>
      </c>
      <c r="D234" s="5"/>
      <c r="E234" s="6" t="s">
        <v>283</v>
      </c>
      <c r="F234" s="7">
        <v>4</v>
      </c>
      <c r="G234" s="7">
        <v>5</v>
      </c>
      <c r="H234" s="7">
        <v>2</v>
      </c>
      <c r="I234" s="7">
        <v>4</v>
      </c>
      <c r="J234" s="142">
        <v>4</v>
      </c>
      <c r="K234" s="143">
        <v>4</v>
      </c>
    </row>
    <row r="235" spans="1:11" ht="12.9">
      <c r="A235" s="8" t="s">
        <v>412</v>
      </c>
      <c r="B235" s="8"/>
      <c r="C235" s="15" t="s">
        <v>411</v>
      </c>
      <c r="D235" s="5"/>
      <c r="E235" s="6" t="s">
        <v>283</v>
      </c>
      <c r="F235" s="7"/>
      <c r="G235" s="7">
        <v>1</v>
      </c>
      <c r="H235" s="7">
        <v>1</v>
      </c>
      <c r="I235" s="7">
        <v>0</v>
      </c>
      <c r="J235" s="142">
        <v>0</v>
      </c>
      <c r="K235" s="143">
        <v>0</v>
      </c>
    </row>
    <row r="236" spans="1:11" ht="12.9">
      <c r="A236" s="8" t="s">
        <v>225</v>
      </c>
      <c r="B236" s="8"/>
      <c r="C236" s="15" t="s">
        <v>394</v>
      </c>
      <c r="D236" s="5"/>
      <c r="E236" s="6" t="s">
        <v>283</v>
      </c>
      <c r="F236" s="7"/>
      <c r="G236" s="7"/>
      <c r="H236" s="7">
        <v>0</v>
      </c>
      <c r="I236" s="7">
        <v>0</v>
      </c>
      <c r="J236" s="142">
        <v>1</v>
      </c>
      <c r="K236" s="143">
        <v>1</v>
      </c>
    </row>
    <row r="237" spans="1:11">
      <c r="A237" s="2352" t="s">
        <v>113</v>
      </c>
      <c r="B237" s="2352"/>
      <c r="C237" s="2352"/>
      <c r="D237" s="2352"/>
      <c r="E237" s="2352"/>
      <c r="F237" s="2352"/>
      <c r="G237" s="2352"/>
      <c r="H237" s="2352"/>
      <c r="I237" s="2352"/>
      <c r="J237" s="2353"/>
      <c r="K237" s="188"/>
    </row>
    <row r="238" spans="1:11" ht="12.75" customHeight="1">
      <c r="A238" s="2350" t="s">
        <v>590</v>
      </c>
      <c r="B238" s="2350"/>
      <c r="C238" s="2350"/>
      <c r="D238" s="2350"/>
      <c r="E238" s="2350"/>
      <c r="F238" s="2350"/>
      <c r="G238" s="2350"/>
      <c r="H238" s="2350"/>
      <c r="I238" s="2350"/>
      <c r="J238" s="2351"/>
      <c r="K238" s="190"/>
    </row>
    <row r="239" spans="1:11" ht="12.75" customHeight="1">
      <c r="A239" s="11" t="s">
        <v>549</v>
      </c>
      <c r="B239" s="11"/>
      <c r="C239" s="15" t="s">
        <v>550</v>
      </c>
      <c r="D239" s="20"/>
      <c r="E239" s="6" t="s">
        <v>283</v>
      </c>
      <c r="F239" s="7" t="s">
        <v>552</v>
      </c>
      <c r="G239" s="7">
        <v>4</v>
      </c>
      <c r="H239" s="7">
        <v>4</v>
      </c>
      <c r="I239" s="7" t="s">
        <v>551</v>
      </c>
      <c r="J239" s="142" t="s">
        <v>551</v>
      </c>
      <c r="K239" s="143" t="s">
        <v>551</v>
      </c>
    </row>
    <row r="240" spans="1:11" ht="12.75" customHeight="1">
      <c r="A240" s="11" t="s">
        <v>286</v>
      </c>
      <c r="B240" s="11"/>
      <c r="C240" s="15" t="s">
        <v>31</v>
      </c>
      <c r="D240" s="20"/>
      <c r="E240" s="6" t="s">
        <v>283</v>
      </c>
      <c r="F240" s="7" t="s">
        <v>552</v>
      </c>
      <c r="G240" s="7">
        <v>15</v>
      </c>
      <c r="H240" s="7">
        <v>19</v>
      </c>
      <c r="I240" s="7">
        <v>40</v>
      </c>
      <c r="J240" s="142">
        <v>45</v>
      </c>
      <c r="K240" s="143">
        <v>50</v>
      </c>
    </row>
    <row r="241" spans="1:11" ht="12.9">
      <c r="A241" s="11" t="s">
        <v>30</v>
      </c>
      <c r="B241" s="11"/>
      <c r="C241" s="15" t="s">
        <v>287</v>
      </c>
      <c r="D241" s="5"/>
      <c r="E241" s="6" t="s">
        <v>283</v>
      </c>
      <c r="F241" s="7" t="s">
        <v>552</v>
      </c>
      <c r="G241" s="7" t="s">
        <v>551</v>
      </c>
      <c r="H241" s="7" t="s">
        <v>551</v>
      </c>
      <c r="I241" s="7" t="s">
        <v>551</v>
      </c>
      <c r="J241" s="142" t="s">
        <v>551</v>
      </c>
      <c r="K241" s="143" t="s">
        <v>551</v>
      </c>
    </row>
    <row r="242" spans="1:11" ht="12.9">
      <c r="A242" s="11" t="s">
        <v>470</v>
      </c>
      <c r="B242" s="11"/>
      <c r="C242" s="15" t="s">
        <v>737</v>
      </c>
      <c r="D242" s="5"/>
      <c r="E242" s="6" t="s">
        <v>283</v>
      </c>
      <c r="F242" s="7">
        <v>20</v>
      </c>
      <c r="G242" s="7">
        <v>20</v>
      </c>
      <c r="H242" s="7">
        <v>30</v>
      </c>
      <c r="I242" s="7">
        <v>30</v>
      </c>
      <c r="J242" s="142">
        <v>30</v>
      </c>
      <c r="K242" s="143">
        <v>30</v>
      </c>
    </row>
    <row r="243" spans="1:11" ht="12.9">
      <c r="A243" s="11" t="s">
        <v>413</v>
      </c>
      <c r="B243" s="11"/>
      <c r="C243" s="15" t="s">
        <v>414</v>
      </c>
      <c r="D243" s="5"/>
      <c r="E243" s="6" t="s">
        <v>283</v>
      </c>
      <c r="F243" s="7"/>
      <c r="G243" s="7">
        <v>60</v>
      </c>
      <c r="H243" s="7">
        <v>65</v>
      </c>
      <c r="I243" s="7">
        <v>80</v>
      </c>
      <c r="J243" s="142">
        <v>90</v>
      </c>
      <c r="K243" s="143">
        <v>100</v>
      </c>
    </row>
    <row r="244" spans="1:11" ht="12.9">
      <c r="A244" s="11" t="s">
        <v>221</v>
      </c>
      <c r="B244" s="11"/>
      <c r="C244" s="15" t="s">
        <v>224</v>
      </c>
      <c r="D244" s="5"/>
      <c r="E244" s="6" t="s">
        <v>283</v>
      </c>
      <c r="F244" s="7"/>
      <c r="G244" s="7"/>
      <c r="H244" s="7">
        <v>1</v>
      </c>
      <c r="I244" s="7">
        <v>0</v>
      </c>
      <c r="J244" s="142">
        <v>0</v>
      </c>
      <c r="K244" s="143">
        <v>0</v>
      </c>
    </row>
    <row r="245" spans="1:11" ht="21" customHeight="1">
      <c r="A245" s="2346" t="s">
        <v>149</v>
      </c>
      <c r="B245" s="2346"/>
      <c r="C245" s="2346"/>
      <c r="D245" s="2346"/>
      <c r="E245" s="2346"/>
      <c r="F245" s="2346"/>
      <c r="G245" s="2346"/>
      <c r="H245" s="2346"/>
      <c r="I245" s="2346"/>
      <c r="J245" s="2347"/>
      <c r="K245" s="186"/>
    </row>
    <row r="246" spans="1:11" ht="12.75" customHeight="1">
      <c r="A246" s="2348" t="s">
        <v>730</v>
      </c>
      <c r="B246" s="2348"/>
      <c r="C246" s="2348"/>
      <c r="D246" s="2348"/>
      <c r="E246" s="2348"/>
      <c r="F246" s="2348"/>
      <c r="G246" s="2348"/>
      <c r="H246" s="2348"/>
      <c r="I246" s="2348"/>
      <c r="J246" s="2349"/>
      <c r="K246" s="187"/>
    </row>
    <row r="247" spans="1:11" ht="12.75" customHeight="1">
      <c r="A247" s="2348" t="s">
        <v>281</v>
      </c>
      <c r="B247" s="2348"/>
      <c r="C247" s="2348"/>
      <c r="D247" s="2348"/>
      <c r="E247" s="2348"/>
      <c r="F247" s="2348"/>
      <c r="G247" s="2348"/>
      <c r="H247" s="2348"/>
      <c r="I247" s="2348"/>
      <c r="J247" s="2349"/>
      <c r="K247" s="187"/>
    </row>
    <row r="248" spans="1:11" ht="12.9">
      <c r="A248" s="8" t="s">
        <v>512</v>
      </c>
      <c r="B248" s="8"/>
      <c r="C248" s="15" t="s">
        <v>305</v>
      </c>
      <c r="D248" s="5"/>
      <c r="E248" s="9" t="s">
        <v>490</v>
      </c>
      <c r="F248" s="7">
        <v>7</v>
      </c>
      <c r="G248" s="7">
        <v>8.4</v>
      </c>
      <c r="H248" s="7">
        <v>8.5</v>
      </c>
      <c r="I248" s="7">
        <v>8</v>
      </c>
      <c r="J248" s="142">
        <v>7.5</v>
      </c>
      <c r="K248" s="143">
        <v>7.5</v>
      </c>
    </row>
    <row r="249" spans="1:11" ht="25.75">
      <c r="A249" s="8" t="s">
        <v>303</v>
      </c>
      <c r="B249" s="8"/>
      <c r="C249" s="15" t="s">
        <v>288</v>
      </c>
      <c r="D249" s="5"/>
      <c r="E249" s="9" t="s">
        <v>283</v>
      </c>
      <c r="F249" s="7"/>
      <c r="G249" s="7"/>
      <c r="H249" s="7">
        <v>2</v>
      </c>
      <c r="I249" s="7">
        <v>1</v>
      </c>
      <c r="J249" s="142">
        <v>1</v>
      </c>
      <c r="K249" s="143">
        <v>1</v>
      </c>
    </row>
    <row r="250" spans="1:11" ht="12.9">
      <c r="A250" s="8" t="s">
        <v>266</v>
      </c>
      <c r="B250" s="8"/>
      <c r="C250" s="15" t="s">
        <v>289</v>
      </c>
      <c r="D250" s="5"/>
      <c r="E250" s="9" t="s">
        <v>283</v>
      </c>
      <c r="F250" s="7">
        <v>0</v>
      </c>
      <c r="G250" s="7">
        <v>0</v>
      </c>
      <c r="H250" s="7">
        <v>0</v>
      </c>
      <c r="I250" s="7">
        <v>0</v>
      </c>
      <c r="J250" s="142">
        <v>1</v>
      </c>
      <c r="K250" s="143">
        <v>1</v>
      </c>
    </row>
    <row r="251" spans="1:11">
      <c r="A251" s="2352" t="s">
        <v>113</v>
      </c>
      <c r="B251" s="2352"/>
      <c r="C251" s="2352"/>
      <c r="D251" s="2352"/>
      <c r="E251" s="2352"/>
      <c r="F251" s="2352"/>
      <c r="G251" s="2352"/>
      <c r="H251" s="2352"/>
      <c r="I251" s="2352"/>
      <c r="J251" s="2353"/>
      <c r="K251" s="188"/>
    </row>
    <row r="252" spans="1:11" ht="12.75" customHeight="1">
      <c r="A252" s="2350" t="s">
        <v>213</v>
      </c>
      <c r="B252" s="2350"/>
      <c r="C252" s="2350"/>
      <c r="D252" s="2350"/>
      <c r="E252" s="2350"/>
      <c r="F252" s="2350"/>
      <c r="G252" s="2350"/>
      <c r="H252" s="2350"/>
      <c r="I252" s="2350"/>
      <c r="J252" s="2351"/>
      <c r="K252" s="190"/>
    </row>
    <row r="253" spans="1:11" ht="12.9">
      <c r="A253" s="11" t="s">
        <v>7</v>
      </c>
      <c r="B253" s="11"/>
      <c r="C253" s="15" t="s">
        <v>8</v>
      </c>
      <c r="D253" s="151"/>
      <c r="E253" s="34" t="s">
        <v>283</v>
      </c>
      <c r="F253" s="4">
        <v>21</v>
      </c>
      <c r="G253" s="4">
        <v>12</v>
      </c>
      <c r="H253" s="4">
        <v>11</v>
      </c>
      <c r="I253" s="4">
        <v>11</v>
      </c>
      <c r="J253" s="167">
        <v>11</v>
      </c>
      <c r="K253" s="156">
        <v>11</v>
      </c>
    </row>
    <row r="254" spans="1:11" ht="12.9">
      <c r="A254" s="11" t="s">
        <v>454</v>
      </c>
      <c r="B254" s="11"/>
      <c r="C254" s="15" t="s">
        <v>14</v>
      </c>
      <c r="D254" s="151"/>
      <c r="E254" s="34" t="s">
        <v>283</v>
      </c>
      <c r="F254" s="4">
        <v>70</v>
      </c>
      <c r="G254" s="4">
        <v>140</v>
      </c>
      <c r="H254" s="4">
        <v>220</v>
      </c>
      <c r="I254" s="4">
        <v>150</v>
      </c>
      <c r="J254" s="167">
        <v>160</v>
      </c>
      <c r="K254" s="156">
        <v>170</v>
      </c>
    </row>
    <row r="255" spans="1:11" ht="12.9">
      <c r="A255" s="11" t="s">
        <v>323</v>
      </c>
      <c r="B255" s="11"/>
      <c r="C255" s="15" t="s">
        <v>15</v>
      </c>
      <c r="D255" s="151"/>
      <c r="E255" s="34" t="s">
        <v>283</v>
      </c>
      <c r="F255" s="4"/>
      <c r="G255" s="4"/>
      <c r="H255" s="4">
        <v>3000</v>
      </c>
      <c r="I255" s="4">
        <v>4000</v>
      </c>
      <c r="J255" s="167">
        <v>4500</v>
      </c>
      <c r="K255" s="156">
        <v>4500</v>
      </c>
    </row>
    <row r="256" spans="1:11" ht="12.9">
      <c r="A256" s="11" t="s">
        <v>304</v>
      </c>
      <c r="B256" s="11"/>
      <c r="C256" s="15" t="s">
        <v>267</v>
      </c>
      <c r="D256" s="151"/>
      <c r="E256" s="34" t="s">
        <v>283</v>
      </c>
      <c r="F256" s="4"/>
      <c r="G256" s="4"/>
      <c r="H256" s="4">
        <v>700</v>
      </c>
      <c r="I256" s="4">
        <v>700</v>
      </c>
      <c r="J256" s="167">
        <v>700</v>
      </c>
      <c r="K256" s="156">
        <v>700</v>
      </c>
    </row>
    <row r="257" spans="1:11" ht="25.75">
      <c r="A257" s="12" t="s">
        <v>532</v>
      </c>
      <c r="B257" s="11"/>
      <c r="C257" s="15" t="s">
        <v>17</v>
      </c>
      <c r="D257" s="151"/>
      <c r="E257" s="34" t="s">
        <v>283</v>
      </c>
      <c r="F257" s="4"/>
      <c r="G257" s="4"/>
      <c r="H257" s="4">
        <v>30</v>
      </c>
      <c r="I257" s="4">
        <v>25</v>
      </c>
      <c r="J257" s="167">
        <v>30</v>
      </c>
      <c r="K257" s="156">
        <v>30</v>
      </c>
    </row>
    <row r="258" spans="1:11" ht="12.9">
      <c r="A258" s="12" t="s">
        <v>19</v>
      </c>
      <c r="B258" s="11"/>
      <c r="C258" s="15" t="s">
        <v>18</v>
      </c>
      <c r="D258" s="151"/>
      <c r="E258" s="34" t="s">
        <v>283</v>
      </c>
      <c r="F258" s="4"/>
      <c r="G258" s="4"/>
      <c r="H258" s="4">
        <v>1</v>
      </c>
      <c r="I258" s="4">
        <v>0</v>
      </c>
      <c r="J258" s="167">
        <v>1</v>
      </c>
      <c r="K258" s="156">
        <v>1</v>
      </c>
    </row>
    <row r="259" spans="1:11" ht="25.75">
      <c r="A259" s="12" t="s">
        <v>533</v>
      </c>
      <c r="B259" s="11"/>
      <c r="C259" s="15" t="s">
        <v>20</v>
      </c>
      <c r="D259" s="151"/>
      <c r="E259" s="34" t="s">
        <v>283</v>
      </c>
      <c r="F259" s="4"/>
      <c r="G259" s="4"/>
      <c r="H259" s="4">
        <v>30</v>
      </c>
      <c r="I259" s="4">
        <v>17</v>
      </c>
      <c r="J259" s="167">
        <v>20</v>
      </c>
      <c r="K259" s="156">
        <v>23</v>
      </c>
    </row>
    <row r="260" spans="1:11" ht="12.75" customHeight="1">
      <c r="A260" s="2350" t="s">
        <v>9</v>
      </c>
      <c r="B260" s="2350"/>
      <c r="C260" s="2350"/>
      <c r="D260" s="2350"/>
      <c r="E260" s="2350"/>
      <c r="F260" s="2350"/>
      <c r="G260" s="2350"/>
      <c r="H260" s="2350"/>
      <c r="I260" s="2350"/>
      <c r="J260" s="2351"/>
      <c r="K260" s="190"/>
    </row>
    <row r="261" spans="1:11" ht="15" customHeight="1">
      <c r="A261" s="12" t="s">
        <v>193</v>
      </c>
      <c r="B261" s="12"/>
      <c r="C261" s="15" t="s">
        <v>162</v>
      </c>
      <c r="D261" s="5"/>
      <c r="E261" s="6" t="s">
        <v>456</v>
      </c>
      <c r="F261" s="7">
        <v>3500</v>
      </c>
      <c r="G261" s="7">
        <v>2400</v>
      </c>
      <c r="H261" s="7">
        <v>100</v>
      </c>
      <c r="I261" s="7">
        <v>100</v>
      </c>
      <c r="J261" s="142">
        <v>100</v>
      </c>
      <c r="K261" s="143">
        <v>100</v>
      </c>
    </row>
    <row r="262" spans="1:11" ht="15" customHeight="1">
      <c r="A262" s="12" t="s">
        <v>194</v>
      </c>
      <c r="B262" s="12"/>
      <c r="C262" s="15" t="s">
        <v>351</v>
      </c>
      <c r="D262" s="5"/>
      <c r="E262" s="6" t="s">
        <v>283</v>
      </c>
      <c r="F262" s="7"/>
      <c r="G262" s="7"/>
      <c r="H262" s="7">
        <v>3800</v>
      </c>
      <c r="I262" s="7">
        <v>3800</v>
      </c>
      <c r="J262" s="142">
        <v>3800</v>
      </c>
      <c r="K262" s="143">
        <v>3800</v>
      </c>
    </row>
    <row r="263" spans="1:11" ht="15" customHeight="1">
      <c r="A263" s="12" t="s">
        <v>195</v>
      </c>
      <c r="B263" s="12"/>
      <c r="C263" s="15" t="s">
        <v>196</v>
      </c>
      <c r="D263" s="5"/>
      <c r="E263" s="6" t="s">
        <v>283</v>
      </c>
      <c r="F263" s="7"/>
      <c r="G263" s="7"/>
      <c r="H263" s="7">
        <v>350</v>
      </c>
      <c r="I263" s="7">
        <v>250</v>
      </c>
      <c r="J263" s="142">
        <v>300</v>
      </c>
      <c r="K263" s="143">
        <v>350</v>
      </c>
    </row>
    <row r="264" spans="1:11" ht="27" customHeight="1">
      <c r="A264" s="12" t="s">
        <v>268</v>
      </c>
      <c r="B264" s="12"/>
      <c r="C264" s="15" t="s">
        <v>197</v>
      </c>
      <c r="D264" s="5"/>
      <c r="E264" s="34" t="s">
        <v>283</v>
      </c>
      <c r="F264" s="4"/>
      <c r="G264" s="4"/>
      <c r="H264" s="4">
        <v>5500</v>
      </c>
      <c r="I264" s="4">
        <v>6000</v>
      </c>
      <c r="J264" s="167">
        <v>6000</v>
      </c>
      <c r="K264" s="156">
        <v>6000</v>
      </c>
    </row>
    <row r="265" spans="1:11" ht="15" customHeight="1">
      <c r="A265" s="12" t="s">
        <v>481</v>
      </c>
      <c r="B265" s="12"/>
      <c r="C265" s="15" t="s">
        <v>198</v>
      </c>
      <c r="D265" s="5"/>
      <c r="E265" s="6" t="s">
        <v>456</v>
      </c>
      <c r="F265" s="7"/>
      <c r="G265" s="7">
        <v>80</v>
      </c>
      <c r="H265" s="7">
        <v>90</v>
      </c>
      <c r="I265" s="7">
        <v>90</v>
      </c>
      <c r="J265" s="142">
        <v>90</v>
      </c>
      <c r="K265" s="143">
        <v>90</v>
      </c>
    </row>
    <row r="266" spans="1:11" ht="12.75" customHeight="1">
      <c r="A266" s="2350" t="s">
        <v>660</v>
      </c>
      <c r="B266" s="2350"/>
      <c r="C266" s="2350"/>
      <c r="D266" s="2350"/>
      <c r="E266" s="2350"/>
      <c r="F266" s="2350"/>
      <c r="G266" s="2350"/>
      <c r="H266" s="2350"/>
      <c r="I266" s="2350"/>
      <c r="J266" s="2351"/>
      <c r="K266" s="190"/>
    </row>
    <row r="267" spans="1:11" s="21" customFormat="1" ht="13.5" customHeight="1">
      <c r="A267" s="12" t="s">
        <v>25</v>
      </c>
      <c r="B267" s="12"/>
      <c r="C267" s="15" t="s">
        <v>630</v>
      </c>
      <c r="D267" s="5"/>
      <c r="E267" s="6" t="s">
        <v>283</v>
      </c>
      <c r="F267" s="7">
        <v>0</v>
      </c>
      <c r="G267" s="7">
        <v>0</v>
      </c>
      <c r="H267" s="7">
        <v>15</v>
      </c>
      <c r="I267" s="7">
        <v>15</v>
      </c>
      <c r="J267" s="142">
        <v>15</v>
      </c>
      <c r="K267" s="143">
        <v>15</v>
      </c>
    </row>
    <row r="268" spans="1:11" s="21" customFormat="1" ht="25.5" customHeight="1">
      <c r="A268" s="12" t="s">
        <v>345</v>
      </c>
      <c r="B268" s="12"/>
      <c r="C268" s="15" t="s">
        <v>26</v>
      </c>
      <c r="D268" s="5"/>
      <c r="E268" s="6" t="s">
        <v>283</v>
      </c>
      <c r="F268" s="7"/>
      <c r="G268" s="7"/>
      <c r="H268" s="7">
        <v>100</v>
      </c>
      <c r="I268" s="7">
        <v>100</v>
      </c>
      <c r="J268" s="142">
        <v>100</v>
      </c>
      <c r="K268" s="143">
        <v>100</v>
      </c>
    </row>
    <row r="269" spans="1:11" s="21" customFormat="1" ht="15" customHeight="1">
      <c r="A269" s="12" t="s">
        <v>634</v>
      </c>
      <c r="B269" s="12"/>
      <c r="C269" s="15" t="s">
        <v>27</v>
      </c>
      <c r="D269" s="5"/>
      <c r="E269" s="6" t="s">
        <v>283</v>
      </c>
      <c r="F269" s="7"/>
      <c r="G269" s="7"/>
      <c r="H269" s="7">
        <v>8</v>
      </c>
      <c r="I269" s="7">
        <v>0</v>
      </c>
      <c r="J269" s="142">
        <v>0</v>
      </c>
      <c r="K269" s="143">
        <v>0</v>
      </c>
    </row>
    <row r="270" spans="1:11" ht="12.75" customHeight="1">
      <c r="A270" s="2344" t="s">
        <v>535</v>
      </c>
      <c r="B270" s="2344"/>
      <c r="C270" s="2344"/>
      <c r="D270" s="2344"/>
      <c r="E270" s="2344"/>
      <c r="F270" s="2344"/>
      <c r="G270" s="2344"/>
      <c r="H270" s="2344"/>
      <c r="I270" s="2344"/>
      <c r="J270" s="2345"/>
      <c r="K270" s="191"/>
    </row>
    <row r="271" spans="1:11" ht="12.75" customHeight="1">
      <c r="A271" s="2344" t="s">
        <v>698</v>
      </c>
      <c r="B271" s="2344"/>
      <c r="C271" s="2344"/>
      <c r="D271" s="2344"/>
      <c r="E271" s="2344"/>
      <c r="F271" s="2344"/>
      <c r="G271" s="2344"/>
      <c r="H271" s="2344"/>
      <c r="I271" s="2344"/>
      <c r="J271" s="2345"/>
      <c r="K271" s="191"/>
    </row>
    <row r="272" spans="1:11" ht="32.25" customHeight="1">
      <c r="A272" s="14" t="s">
        <v>536</v>
      </c>
      <c r="B272" s="14"/>
      <c r="C272" s="4" t="s">
        <v>670</v>
      </c>
      <c r="D272" s="5"/>
      <c r="E272" s="34" t="s">
        <v>671</v>
      </c>
      <c r="F272" s="32" t="s">
        <v>824</v>
      </c>
      <c r="G272" s="32" t="s">
        <v>744</v>
      </c>
      <c r="H272" s="32" t="s">
        <v>554</v>
      </c>
      <c r="I272" s="32" t="s">
        <v>555</v>
      </c>
      <c r="J272" s="176" t="s">
        <v>555</v>
      </c>
      <c r="K272" s="275" t="s">
        <v>555</v>
      </c>
    </row>
    <row r="273" spans="1:11" ht="12.9">
      <c r="A273" s="14" t="s">
        <v>158</v>
      </c>
      <c r="B273" s="14"/>
      <c r="C273" s="4" t="s">
        <v>159</v>
      </c>
      <c r="D273" s="5"/>
      <c r="E273" s="6" t="s">
        <v>456</v>
      </c>
      <c r="F273" s="7">
        <v>85</v>
      </c>
      <c r="G273" s="24">
        <v>85</v>
      </c>
      <c r="H273" s="24">
        <v>90</v>
      </c>
      <c r="I273" s="24">
        <v>90</v>
      </c>
      <c r="J273" s="177">
        <v>90</v>
      </c>
      <c r="K273" s="53">
        <v>90</v>
      </c>
    </row>
    <row r="274" spans="1:11" ht="18" customHeight="1">
      <c r="A274" s="14" t="s">
        <v>841</v>
      </c>
      <c r="B274" s="14"/>
      <c r="C274" s="4" t="s">
        <v>238</v>
      </c>
      <c r="D274" s="5"/>
      <c r="E274" s="6" t="s">
        <v>456</v>
      </c>
      <c r="F274" s="7">
        <v>15</v>
      </c>
      <c r="G274" s="24">
        <v>5</v>
      </c>
      <c r="H274" s="24">
        <v>5</v>
      </c>
      <c r="I274" s="24">
        <v>5</v>
      </c>
      <c r="J274" s="177">
        <v>5</v>
      </c>
      <c r="K274" s="53">
        <v>5</v>
      </c>
    </row>
    <row r="275" spans="1:11" ht="15.75" customHeight="1">
      <c r="A275" s="14" t="s">
        <v>473</v>
      </c>
      <c r="B275" s="14"/>
      <c r="C275" s="4" t="s">
        <v>239</v>
      </c>
      <c r="D275" s="5"/>
      <c r="E275" s="6" t="s">
        <v>283</v>
      </c>
      <c r="F275" s="7">
        <v>17</v>
      </c>
      <c r="G275" s="24">
        <v>14</v>
      </c>
      <c r="H275" s="24">
        <v>13</v>
      </c>
      <c r="I275" s="24">
        <v>12</v>
      </c>
      <c r="J275" s="177">
        <v>14</v>
      </c>
      <c r="K275" s="53">
        <v>14</v>
      </c>
    </row>
    <row r="276" spans="1:11" ht="19" customHeight="1">
      <c r="A276" s="2346" t="s">
        <v>720</v>
      </c>
      <c r="B276" s="2346"/>
      <c r="C276" s="2346"/>
      <c r="D276" s="2346"/>
      <c r="E276" s="2346"/>
      <c r="F276" s="2346"/>
      <c r="G276" s="2346"/>
      <c r="H276" s="2346"/>
      <c r="I276" s="2346"/>
      <c r="J276" s="2347"/>
      <c r="K276" s="186"/>
    </row>
    <row r="277" spans="1:11" ht="12.75" customHeight="1">
      <c r="A277" s="2348" t="s">
        <v>476</v>
      </c>
      <c r="B277" s="2348"/>
      <c r="C277" s="2348"/>
      <c r="D277" s="2348"/>
      <c r="E277" s="2348"/>
      <c r="F277" s="2348"/>
      <c r="G277" s="2348"/>
      <c r="H277" s="2348"/>
      <c r="I277" s="2348"/>
      <c r="J277" s="2349"/>
      <c r="K277" s="187"/>
    </row>
    <row r="278" spans="1:11" ht="12.75" customHeight="1">
      <c r="A278" s="2348" t="s">
        <v>281</v>
      </c>
      <c r="B278" s="2348"/>
      <c r="C278" s="2348"/>
      <c r="D278" s="2348"/>
      <c r="E278" s="2348"/>
      <c r="F278" s="2348"/>
      <c r="G278" s="2348"/>
      <c r="H278" s="2348"/>
      <c r="I278" s="2348"/>
      <c r="J278" s="2349"/>
      <c r="K278" s="187"/>
    </row>
    <row r="279" spans="1:11" ht="18.75" customHeight="1">
      <c r="A279" s="8" t="s">
        <v>657</v>
      </c>
      <c r="B279" s="8"/>
      <c r="C279" s="15" t="s">
        <v>36</v>
      </c>
      <c r="D279" s="5"/>
      <c r="E279" s="6" t="s">
        <v>456</v>
      </c>
      <c r="F279" s="7">
        <v>13</v>
      </c>
      <c r="G279" s="24">
        <v>100</v>
      </c>
      <c r="H279" s="24">
        <v>100</v>
      </c>
      <c r="I279" s="24">
        <v>100</v>
      </c>
      <c r="J279" s="177">
        <v>100</v>
      </c>
      <c r="K279" s="53">
        <v>100</v>
      </c>
    </row>
    <row r="280" spans="1:11" ht="12.9">
      <c r="A280" s="8" t="s">
        <v>457</v>
      </c>
      <c r="B280" s="8"/>
      <c r="C280" s="15" t="s">
        <v>458</v>
      </c>
      <c r="D280" s="5"/>
      <c r="E280" s="6" t="s">
        <v>283</v>
      </c>
      <c r="F280" s="7">
        <v>4</v>
      </c>
      <c r="G280" s="24">
        <v>2</v>
      </c>
      <c r="H280" s="24">
        <v>2</v>
      </c>
      <c r="I280" s="24">
        <v>2</v>
      </c>
      <c r="J280" s="177">
        <v>2</v>
      </c>
      <c r="K280" s="53">
        <v>2</v>
      </c>
    </row>
    <row r="281" spans="1:11" ht="12.9">
      <c r="A281" s="8" t="s">
        <v>543</v>
      </c>
      <c r="B281" s="8"/>
      <c r="C281" s="15" t="s">
        <v>573</v>
      </c>
      <c r="D281" s="5"/>
      <c r="E281" s="6" t="s">
        <v>283</v>
      </c>
      <c r="F281" s="7"/>
      <c r="G281" s="24"/>
      <c r="H281" s="24">
        <v>1</v>
      </c>
      <c r="I281" s="24">
        <v>5</v>
      </c>
      <c r="J281" s="177">
        <v>5</v>
      </c>
      <c r="K281" s="53">
        <v>5</v>
      </c>
    </row>
    <row r="282" spans="1:11">
      <c r="A282" s="2352" t="s">
        <v>113</v>
      </c>
      <c r="B282" s="2352"/>
      <c r="C282" s="2352"/>
      <c r="D282" s="2352"/>
      <c r="E282" s="2352"/>
      <c r="F282" s="2352"/>
      <c r="G282" s="2352"/>
      <c r="H282" s="2352"/>
      <c r="I282" s="2352"/>
      <c r="J282" s="2353"/>
      <c r="K282" s="188"/>
    </row>
    <row r="283" spans="1:11" ht="12.75" customHeight="1">
      <c r="A283" s="2350" t="s">
        <v>259</v>
      </c>
      <c r="B283" s="2350"/>
      <c r="C283" s="2350"/>
      <c r="D283" s="2350"/>
      <c r="E283" s="2350"/>
      <c r="F283" s="2350"/>
      <c r="G283" s="2350"/>
      <c r="H283" s="2350"/>
      <c r="I283" s="2350"/>
      <c r="J283" s="2351"/>
      <c r="K283" s="190"/>
    </row>
    <row r="284" spans="1:11" ht="12.9">
      <c r="A284" s="11" t="s">
        <v>666</v>
      </c>
      <c r="B284" s="11"/>
      <c r="C284" s="15" t="s">
        <v>731</v>
      </c>
      <c r="D284" s="5"/>
      <c r="E284" s="6" t="s">
        <v>456</v>
      </c>
      <c r="F284" s="7">
        <v>95</v>
      </c>
      <c r="G284" s="7">
        <v>99</v>
      </c>
      <c r="H284" s="24">
        <v>99</v>
      </c>
      <c r="I284" s="24">
        <v>99</v>
      </c>
      <c r="J284" s="177">
        <v>99</v>
      </c>
      <c r="K284" s="53">
        <v>99</v>
      </c>
    </row>
    <row r="285" spans="1:11" ht="12.9">
      <c r="A285" s="11" t="s">
        <v>732</v>
      </c>
      <c r="B285" s="11"/>
      <c r="C285" s="15" t="s">
        <v>733</v>
      </c>
      <c r="D285" s="5"/>
      <c r="E285" s="6" t="s">
        <v>734</v>
      </c>
      <c r="F285" s="7">
        <v>70</v>
      </c>
      <c r="G285" s="7">
        <v>70</v>
      </c>
      <c r="H285" s="24">
        <v>350</v>
      </c>
      <c r="I285" s="24">
        <v>350</v>
      </c>
      <c r="J285" s="177">
        <v>350</v>
      </c>
      <c r="K285" s="53">
        <v>350</v>
      </c>
    </row>
    <row r="286" spans="1:11" ht="25.75">
      <c r="A286" s="22" t="s">
        <v>172</v>
      </c>
      <c r="B286" s="22"/>
      <c r="C286" s="15" t="s">
        <v>488</v>
      </c>
      <c r="D286" s="5"/>
      <c r="E286" s="6" t="s">
        <v>456</v>
      </c>
      <c r="F286" s="7">
        <v>80</v>
      </c>
      <c r="G286" s="7">
        <v>85</v>
      </c>
      <c r="H286" s="24">
        <v>85</v>
      </c>
      <c r="I286" s="24">
        <v>85</v>
      </c>
      <c r="J286" s="177">
        <v>85</v>
      </c>
      <c r="K286" s="53">
        <v>85</v>
      </c>
    </row>
    <row r="287" spans="1:11" ht="12.9">
      <c r="A287" s="22" t="s">
        <v>101</v>
      </c>
      <c r="B287" s="22"/>
      <c r="C287" s="15" t="s">
        <v>489</v>
      </c>
      <c r="D287" s="5"/>
      <c r="E287" s="6" t="s">
        <v>490</v>
      </c>
      <c r="F287" s="7">
        <v>1</v>
      </c>
      <c r="G287" s="7">
        <v>1</v>
      </c>
      <c r="H287" s="24">
        <v>1</v>
      </c>
      <c r="I287" s="24">
        <v>1</v>
      </c>
      <c r="J287" s="177">
        <v>1</v>
      </c>
      <c r="K287" s="53">
        <v>1</v>
      </c>
    </row>
    <row r="288" spans="1:11" ht="12.9">
      <c r="A288" s="22" t="s">
        <v>553</v>
      </c>
      <c r="B288" s="22"/>
      <c r="C288" s="15" t="s">
        <v>589</v>
      </c>
      <c r="D288" s="5"/>
      <c r="E288" s="6" t="s">
        <v>490</v>
      </c>
      <c r="F288" s="7"/>
      <c r="G288" s="7"/>
      <c r="H288" s="24">
        <v>2</v>
      </c>
      <c r="I288" s="24">
        <v>2</v>
      </c>
      <c r="J288" s="177">
        <v>2</v>
      </c>
      <c r="K288" s="53">
        <v>2</v>
      </c>
    </row>
    <row r="289" spans="1:11" ht="12.9">
      <c r="A289" s="11" t="s">
        <v>277</v>
      </c>
      <c r="B289" s="11"/>
      <c r="C289" s="15" t="s">
        <v>46</v>
      </c>
      <c r="D289" s="5"/>
      <c r="E289" s="6" t="s">
        <v>283</v>
      </c>
      <c r="F289" s="7">
        <v>75</v>
      </c>
      <c r="G289" s="7">
        <v>80</v>
      </c>
      <c r="H289" s="24">
        <v>80</v>
      </c>
      <c r="I289" s="24">
        <v>80</v>
      </c>
      <c r="J289" s="177">
        <v>80</v>
      </c>
      <c r="K289" s="53">
        <v>80</v>
      </c>
    </row>
    <row r="290" spans="1:11" ht="25.75">
      <c r="A290" s="12" t="s">
        <v>588</v>
      </c>
      <c r="B290" s="11"/>
      <c r="C290" s="15" t="s">
        <v>102</v>
      </c>
      <c r="D290" s="5"/>
      <c r="E290" s="6" t="s">
        <v>490</v>
      </c>
      <c r="F290" s="7"/>
      <c r="G290" s="7"/>
      <c r="H290" s="24">
        <v>1</v>
      </c>
      <c r="I290" s="24">
        <v>0</v>
      </c>
      <c r="J290" s="177">
        <v>0</v>
      </c>
      <c r="K290" s="53">
        <v>0</v>
      </c>
    </row>
    <row r="291" spans="1:11" ht="12.9">
      <c r="A291" s="11" t="s">
        <v>597</v>
      </c>
      <c r="B291" s="11"/>
      <c r="C291" s="15" t="s">
        <v>103</v>
      </c>
      <c r="D291" s="5"/>
      <c r="E291" s="6" t="s">
        <v>490</v>
      </c>
      <c r="F291" s="7"/>
      <c r="G291" s="7"/>
      <c r="H291" s="24">
        <v>60</v>
      </c>
      <c r="I291" s="24">
        <v>130</v>
      </c>
      <c r="J291" s="177">
        <v>0</v>
      </c>
      <c r="K291" s="53">
        <v>0</v>
      </c>
    </row>
    <row r="292" spans="1:11" ht="12.9">
      <c r="A292" s="11" t="s">
        <v>598</v>
      </c>
      <c r="B292" s="11"/>
      <c r="C292" s="15" t="s">
        <v>526</v>
      </c>
      <c r="D292" s="5"/>
      <c r="E292" s="6" t="s">
        <v>490</v>
      </c>
      <c r="F292" s="7">
        <v>16</v>
      </c>
      <c r="G292" s="7">
        <v>47</v>
      </c>
      <c r="H292" s="24">
        <v>0</v>
      </c>
      <c r="I292" s="24">
        <v>40</v>
      </c>
      <c r="J292" s="177">
        <v>0</v>
      </c>
      <c r="K292" s="53">
        <v>0</v>
      </c>
    </row>
    <row r="293" spans="1:11" ht="12.75" customHeight="1">
      <c r="A293" s="2350" t="s">
        <v>47</v>
      </c>
      <c r="B293" s="2350"/>
      <c r="C293" s="2350"/>
      <c r="D293" s="2350"/>
      <c r="E293" s="2350"/>
      <c r="F293" s="2350"/>
      <c r="G293" s="2350"/>
      <c r="H293" s="2350"/>
      <c r="I293" s="2350"/>
      <c r="J293" s="2351"/>
      <c r="K293" s="190"/>
    </row>
    <row r="294" spans="1:11" ht="12.9">
      <c r="A294" s="11" t="s">
        <v>69</v>
      </c>
      <c r="B294" s="11"/>
      <c r="C294" s="15" t="s">
        <v>48</v>
      </c>
      <c r="D294" s="5"/>
      <c r="E294" s="6" t="s">
        <v>49</v>
      </c>
      <c r="F294" s="7">
        <v>53</v>
      </c>
      <c r="G294" s="7">
        <v>53</v>
      </c>
      <c r="H294" s="7">
        <v>53</v>
      </c>
      <c r="I294" s="7">
        <v>53</v>
      </c>
      <c r="J294" s="142">
        <v>53</v>
      </c>
      <c r="K294" s="143">
        <v>53</v>
      </c>
    </row>
    <row r="295" spans="1:11" ht="12.9">
      <c r="A295" s="22" t="s">
        <v>70</v>
      </c>
      <c r="B295" s="11"/>
      <c r="C295" s="15" t="s">
        <v>353</v>
      </c>
      <c r="D295" s="5"/>
      <c r="E295" s="6" t="s">
        <v>283</v>
      </c>
      <c r="F295" s="7"/>
      <c r="G295" s="7"/>
      <c r="H295" s="7">
        <v>1</v>
      </c>
      <c r="I295" s="7">
        <v>0</v>
      </c>
      <c r="J295" s="142">
        <v>0</v>
      </c>
      <c r="K295" s="143">
        <v>0</v>
      </c>
    </row>
    <row r="296" spans="1:11" ht="12.9">
      <c r="A296" s="22" t="s">
        <v>100</v>
      </c>
      <c r="B296" s="22"/>
      <c r="C296" s="15" t="s">
        <v>104</v>
      </c>
      <c r="D296" s="5"/>
      <c r="E296" s="6" t="s">
        <v>283</v>
      </c>
      <c r="F296" s="7">
        <v>0</v>
      </c>
      <c r="G296" s="7">
        <v>0</v>
      </c>
      <c r="H296" s="7">
        <v>0</v>
      </c>
      <c r="I296" s="7">
        <v>1</v>
      </c>
      <c r="J296" s="142">
        <v>1</v>
      </c>
      <c r="K296" s="143">
        <v>1</v>
      </c>
    </row>
    <row r="297" spans="1:11" ht="12.9">
      <c r="A297" s="22" t="s">
        <v>45</v>
      </c>
      <c r="B297" s="22"/>
      <c r="C297" s="15" t="s">
        <v>332</v>
      </c>
      <c r="D297" s="5"/>
      <c r="E297" s="6" t="s">
        <v>283</v>
      </c>
      <c r="F297" s="7">
        <v>0</v>
      </c>
      <c r="G297" s="7">
        <v>0</v>
      </c>
      <c r="H297" s="7">
        <v>0</v>
      </c>
      <c r="I297" s="7">
        <v>1</v>
      </c>
      <c r="J297" s="142">
        <v>1</v>
      </c>
      <c r="K297" s="143">
        <v>1</v>
      </c>
    </row>
    <row r="298" spans="1:11" ht="12.9">
      <c r="A298" s="22" t="s">
        <v>91</v>
      </c>
      <c r="B298" s="22"/>
      <c r="C298" s="15" t="s">
        <v>569</v>
      </c>
      <c r="D298" s="5"/>
      <c r="E298" s="6" t="s">
        <v>665</v>
      </c>
      <c r="F298" s="7"/>
      <c r="G298" s="7">
        <v>0</v>
      </c>
      <c r="H298" s="7">
        <v>180</v>
      </c>
      <c r="I298" s="7">
        <v>100</v>
      </c>
      <c r="J298" s="142">
        <v>0</v>
      </c>
      <c r="K298" s="143">
        <v>0</v>
      </c>
    </row>
    <row r="299" spans="1:11" ht="12.9">
      <c r="A299" s="22" t="s">
        <v>29</v>
      </c>
      <c r="B299" s="22"/>
      <c r="C299" s="15" t="s">
        <v>570</v>
      </c>
      <c r="D299" s="5"/>
      <c r="E299" s="6" t="s">
        <v>665</v>
      </c>
      <c r="F299" s="7"/>
      <c r="G299" s="7">
        <v>0</v>
      </c>
      <c r="H299" s="7">
        <v>300</v>
      </c>
      <c r="I299" s="7">
        <v>0</v>
      </c>
      <c r="J299" s="142">
        <v>0</v>
      </c>
      <c r="K299" s="143">
        <v>0</v>
      </c>
    </row>
    <row r="300" spans="1:11" ht="12.9">
      <c r="A300" s="22" t="s">
        <v>338</v>
      </c>
      <c r="B300" s="22"/>
      <c r="C300" s="15" t="s">
        <v>339</v>
      </c>
      <c r="D300" s="5"/>
      <c r="E300" s="6" t="s">
        <v>665</v>
      </c>
      <c r="F300" s="7"/>
      <c r="G300" s="7">
        <v>0</v>
      </c>
      <c r="H300" s="7">
        <v>140</v>
      </c>
      <c r="I300" s="7">
        <v>0</v>
      </c>
      <c r="J300" s="142">
        <v>0</v>
      </c>
      <c r="K300" s="143">
        <v>0</v>
      </c>
    </row>
    <row r="301" spans="1:11" ht="12.9">
      <c r="A301" s="22" t="s">
        <v>669</v>
      </c>
      <c r="B301" s="22"/>
      <c r="C301" s="15" t="s">
        <v>226</v>
      </c>
      <c r="D301" s="5"/>
      <c r="E301" s="6" t="s">
        <v>283</v>
      </c>
      <c r="F301" s="7"/>
      <c r="G301" s="7"/>
      <c r="H301" s="7">
        <v>0</v>
      </c>
      <c r="I301" s="7">
        <v>0</v>
      </c>
      <c r="J301" s="142">
        <v>1</v>
      </c>
      <c r="K301" s="143">
        <v>1</v>
      </c>
    </row>
    <row r="302" spans="1:11" ht="12.9">
      <c r="A302" s="2350" t="s">
        <v>63</v>
      </c>
      <c r="B302" s="2350"/>
      <c r="C302" s="2350"/>
      <c r="D302" s="2350"/>
      <c r="E302" s="2350"/>
      <c r="F302" s="2350"/>
      <c r="G302" s="2350"/>
      <c r="H302" s="2350"/>
      <c r="I302" s="2350"/>
      <c r="J302" s="2351"/>
      <c r="K302" s="190"/>
    </row>
    <row r="303" spans="1:11" ht="12.75" customHeight="1">
      <c r="A303" s="11" t="s">
        <v>399</v>
      </c>
      <c r="B303" s="11"/>
      <c r="C303" s="15" t="s">
        <v>64</v>
      </c>
      <c r="D303" s="5"/>
      <c r="E303" s="6" t="s">
        <v>283</v>
      </c>
      <c r="F303" s="7" t="s">
        <v>65</v>
      </c>
      <c r="G303" s="7">
        <v>0</v>
      </c>
      <c r="H303" s="7">
        <v>0</v>
      </c>
      <c r="I303" s="7">
        <v>0</v>
      </c>
      <c r="J303" s="142">
        <v>1</v>
      </c>
      <c r="K303" s="143">
        <v>1</v>
      </c>
    </row>
    <row r="304" spans="1:11" ht="12.9">
      <c r="A304" s="2350" t="s">
        <v>184</v>
      </c>
      <c r="B304" s="2350"/>
      <c r="C304" s="2350"/>
      <c r="D304" s="2350"/>
      <c r="E304" s="2350"/>
      <c r="F304" s="2350"/>
      <c r="G304" s="2350"/>
      <c r="H304" s="2350"/>
      <c r="I304" s="2350"/>
      <c r="J304" s="2351"/>
      <c r="K304" s="190"/>
    </row>
    <row r="305" spans="1:12" ht="12.75" customHeight="1">
      <c r="A305" s="11" t="s">
        <v>186</v>
      </c>
      <c r="B305" s="11"/>
      <c r="C305" s="15" t="s">
        <v>185</v>
      </c>
      <c r="D305" s="5"/>
      <c r="E305" s="6" t="s">
        <v>283</v>
      </c>
      <c r="F305" s="7">
        <v>40</v>
      </c>
      <c r="G305" s="7">
        <v>90</v>
      </c>
      <c r="H305" s="7">
        <v>120</v>
      </c>
      <c r="I305" s="7">
        <v>140</v>
      </c>
      <c r="J305" s="142">
        <v>140</v>
      </c>
      <c r="K305" s="143">
        <v>140</v>
      </c>
    </row>
    <row r="306" spans="1:12" ht="15">
      <c r="A306" s="2362" t="s">
        <v>284</v>
      </c>
      <c r="B306" s="2362"/>
      <c r="C306" s="2362"/>
      <c r="D306" s="2362"/>
      <c r="E306" s="2362"/>
      <c r="F306" s="2362"/>
      <c r="G306" s="2362"/>
      <c r="H306" s="2362"/>
      <c r="I306" s="2362"/>
      <c r="J306" s="2363"/>
      <c r="K306" s="196"/>
    </row>
    <row r="307" spans="1:12" ht="20.5" customHeight="1">
      <c r="A307" s="2348" t="s">
        <v>310</v>
      </c>
      <c r="B307" s="2348"/>
      <c r="C307" s="2348"/>
      <c r="D307" s="2348"/>
      <c r="E307" s="2348"/>
      <c r="F307" s="2348"/>
      <c r="G307" s="2348"/>
      <c r="H307" s="2348"/>
      <c r="I307" s="2348"/>
      <c r="J307" s="2349"/>
      <c r="K307" s="187"/>
    </row>
    <row r="308" spans="1:12" ht="12.75" customHeight="1">
      <c r="A308" s="2348" t="s">
        <v>281</v>
      </c>
      <c r="B308" s="2348"/>
      <c r="C308" s="2348"/>
      <c r="D308" s="2348"/>
      <c r="E308" s="2348"/>
      <c r="F308" s="2348"/>
      <c r="G308" s="2348"/>
      <c r="H308" s="2348"/>
      <c r="I308" s="2348"/>
      <c r="J308" s="2349"/>
      <c r="K308" s="187"/>
    </row>
    <row r="309" spans="1:12" ht="12.75" customHeight="1">
      <c r="A309" s="8" t="s">
        <v>818</v>
      </c>
      <c r="B309" s="8"/>
      <c r="C309" s="15" t="s">
        <v>311</v>
      </c>
      <c r="D309" s="5"/>
      <c r="E309" s="6" t="s">
        <v>283</v>
      </c>
      <c r="F309" s="7">
        <v>3</v>
      </c>
      <c r="G309" s="7">
        <v>2</v>
      </c>
      <c r="H309" s="7">
        <v>2</v>
      </c>
      <c r="I309" s="7">
        <v>1</v>
      </c>
      <c r="J309" s="142">
        <v>1</v>
      </c>
      <c r="K309" s="143">
        <v>1</v>
      </c>
    </row>
    <row r="310" spans="1:12" ht="12.9">
      <c r="A310" s="8" t="s">
        <v>75</v>
      </c>
      <c r="B310" s="8"/>
      <c r="C310" s="15" t="s">
        <v>747</v>
      </c>
      <c r="D310" s="5"/>
      <c r="E310" s="6" t="s">
        <v>456</v>
      </c>
      <c r="F310" s="7" t="s">
        <v>449</v>
      </c>
      <c r="G310" s="7" t="s">
        <v>449</v>
      </c>
      <c r="H310" s="7" t="s">
        <v>449</v>
      </c>
      <c r="I310" s="7" t="s">
        <v>449</v>
      </c>
      <c r="J310" s="142" t="s">
        <v>449</v>
      </c>
      <c r="K310" s="143" t="s">
        <v>449</v>
      </c>
    </row>
    <row r="311" spans="1:12">
      <c r="A311" s="2352" t="s">
        <v>113</v>
      </c>
      <c r="B311" s="2352"/>
      <c r="C311" s="2352"/>
      <c r="D311" s="2352"/>
      <c r="E311" s="2352"/>
      <c r="F311" s="2352"/>
      <c r="G311" s="2352"/>
      <c r="H311" s="2352"/>
      <c r="I311" s="2352"/>
      <c r="J311" s="2353"/>
      <c r="K311" s="188"/>
    </row>
    <row r="312" spans="1:12" ht="12.9">
      <c r="A312" s="2350" t="s">
        <v>312</v>
      </c>
      <c r="B312" s="2350"/>
      <c r="C312" s="2350"/>
      <c r="D312" s="2350"/>
      <c r="E312" s="2350"/>
      <c r="F312" s="2350"/>
      <c r="G312" s="2350"/>
      <c r="H312" s="2350"/>
      <c r="I312" s="2350"/>
      <c r="J312" s="2351"/>
      <c r="K312" s="190"/>
    </row>
    <row r="313" spans="1:12" ht="12.75" customHeight="1">
      <c r="A313" s="11" t="s">
        <v>2</v>
      </c>
      <c r="B313" s="11"/>
      <c r="C313" s="15" t="s">
        <v>3</v>
      </c>
      <c r="D313" s="5"/>
      <c r="E313" s="6" t="s">
        <v>4</v>
      </c>
      <c r="F313" s="7" t="s">
        <v>5</v>
      </c>
      <c r="G313" s="7" t="s">
        <v>5</v>
      </c>
      <c r="H313" s="7" t="s">
        <v>5</v>
      </c>
      <c r="I313" s="7" t="s">
        <v>632</v>
      </c>
      <c r="J313" s="142" t="s">
        <v>319</v>
      </c>
      <c r="K313" s="143" t="s">
        <v>319</v>
      </c>
    </row>
    <row r="314" spans="1:12" ht="12.9">
      <c r="A314" s="11" t="s">
        <v>123</v>
      </c>
      <c r="B314" s="11"/>
      <c r="C314" s="15" t="s">
        <v>124</v>
      </c>
      <c r="D314" s="5"/>
      <c r="E314" s="6" t="s">
        <v>49</v>
      </c>
      <c r="F314" s="7" t="s">
        <v>518</v>
      </c>
      <c r="G314" s="7" t="s">
        <v>518</v>
      </c>
      <c r="H314" s="7" t="s">
        <v>518</v>
      </c>
      <c r="I314" s="7" t="s">
        <v>633</v>
      </c>
      <c r="J314" s="142" t="s">
        <v>633</v>
      </c>
      <c r="K314" s="143" t="s">
        <v>633</v>
      </c>
    </row>
    <row r="315" spans="1:12" ht="12.9">
      <c r="A315" s="11" t="s">
        <v>717</v>
      </c>
      <c r="B315" s="11"/>
      <c r="C315" s="15" t="s">
        <v>447</v>
      </c>
      <c r="D315" s="5"/>
      <c r="E315" s="6" t="s">
        <v>4</v>
      </c>
      <c r="F315" s="7">
        <v>44</v>
      </c>
      <c r="G315" s="7">
        <v>53</v>
      </c>
      <c r="H315" s="7">
        <v>41</v>
      </c>
      <c r="I315" s="7">
        <v>41</v>
      </c>
      <c r="J315" s="142">
        <v>41</v>
      </c>
      <c r="K315" s="143">
        <v>41</v>
      </c>
    </row>
    <row r="316" spans="1:12" ht="15" customHeight="1">
      <c r="A316" s="11" t="s">
        <v>817</v>
      </c>
      <c r="B316" s="11"/>
      <c r="C316" s="15" t="s">
        <v>605</v>
      </c>
      <c r="D316" s="5"/>
      <c r="E316" s="6" t="s">
        <v>4</v>
      </c>
      <c r="F316" s="7"/>
      <c r="G316" s="7">
        <v>70</v>
      </c>
      <c r="H316" s="7">
        <v>87</v>
      </c>
      <c r="I316" s="7">
        <v>90</v>
      </c>
      <c r="J316" s="142">
        <v>90</v>
      </c>
      <c r="K316" s="143">
        <v>90</v>
      </c>
    </row>
    <row r="317" spans="1:12" ht="12.9">
      <c r="A317" s="2350" t="s">
        <v>448</v>
      </c>
      <c r="B317" s="2350"/>
      <c r="C317" s="2350"/>
      <c r="D317" s="2350"/>
      <c r="E317" s="2350"/>
      <c r="F317" s="2350"/>
      <c r="G317" s="2350"/>
      <c r="H317" s="2350"/>
      <c r="I317" s="2350"/>
      <c r="J317" s="2351"/>
      <c r="K317" s="190"/>
    </row>
    <row r="318" spans="1:12" ht="28.5" customHeight="1">
      <c r="A318" s="12" t="s">
        <v>505</v>
      </c>
      <c r="B318" s="12"/>
      <c r="C318" s="15" t="s">
        <v>3</v>
      </c>
      <c r="D318" s="17"/>
      <c r="E318" s="34" t="s">
        <v>283</v>
      </c>
      <c r="F318" s="4">
        <v>3</v>
      </c>
      <c r="G318" s="4">
        <v>0</v>
      </c>
      <c r="H318" s="4">
        <v>0</v>
      </c>
      <c r="I318" s="4">
        <v>0</v>
      </c>
      <c r="J318" s="167">
        <v>1</v>
      </c>
      <c r="K318" s="156">
        <v>1</v>
      </c>
    </row>
    <row r="319" spans="1:12" ht="14.25" customHeight="1">
      <c r="A319" s="11" t="s">
        <v>67</v>
      </c>
      <c r="B319" s="11"/>
      <c r="C319" s="15" t="s">
        <v>124</v>
      </c>
      <c r="D319" s="17"/>
      <c r="E319" s="34" t="s">
        <v>664</v>
      </c>
      <c r="F319" s="4">
        <v>1100</v>
      </c>
      <c r="G319" s="4">
        <f>1050+907</f>
        <v>1957</v>
      </c>
      <c r="H319" s="4">
        <v>2100</v>
      </c>
      <c r="I319" s="4">
        <v>2100</v>
      </c>
      <c r="J319" s="167">
        <f>H319</f>
        <v>2100</v>
      </c>
      <c r="K319" s="156">
        <f>I319</f>
        <v>2100</v>
      </c>
      <c r="L319" s="31"/>
    </row>
    <row r="320" spans="1:12" ht="12.75" customHeight="1">
      <c r="A320" s="11" t="s">
        <v>68</v>
      </c>
      <c r="B320" s="11"/>
      <c r="C320" s="15" t="s">
        <v>447</v>
      </c>
      <c r="D320" s="17"/>
      <c r="E320" s="34" t="s">
        <v>664</v>
      </c>
      <c r="F320" s="4">
        <v>762</v>
      </c>
      <c r="G320" s="4">
        <v>784</v>
      </c>
      <c r="H320" s="4">
        <v>920</v>
      </c>
      <c r="I320" s="4">
        <v>920</v>
      </c>
      <c r="J320" s="167">
        <v>920</v>
      </c>
      <c r="K320" s="156">
        <v>920</v>
      </c>
    </row>
    <row r="321" spans="1:12" ht="12.75" customHeight="1">
      <c r="A321" s="11" t="s">
        <v>269</v>
      </c>
      <c r="B321" s="11"/>
      <c r="C321" s="15" t="s">
        <v>605</v>
      </c>
      <c r="D321" s="17"/>
      <c r="E321" s="34" t="s">
        <v>270</v>
      </c>
      <c r="F321" s="4">
        <v>500</v>
      </c>
      <c r="G321" s="4">
        <v>3150</v>
      </c>
      <c r="H321" s="4">
        <v>2900</v>
      </c>
      <c r="I321" s="4">
        <v>2900</v>
      </c>
      <c r="J321" s="167">
        <v>2900</v>
      </c>
      <c r="K321" s="156">
        <v>2900</v>
      </c>
    </row>
    <row r="322" spans="1:12" ht="12.75" customHeight="1">
      <c r="A322" s="11" t="s">
        <v>752</v>
      </c>
      <c r="B322" s="11"/>
      <c r="C322" s="15" t="s">
        <v>297</v>
      </c>
      <c r="D322" s="17"/>
      <c r="E322" s="34" t="s">
        <v>270</v>
      </c>
      <c r="F322" s="4"/>
      <c r="G322" s="4"/>
      <c r="H322" s="4">
        <f>1850+2500+1780</f>
        <v>6130</v>
      </c>
      <c r="I322" s="4">
        <v>6000</v>
      </c>
      <c r="J322" s="167">
        <v>6000</v>
      </c>
      <c r="K322" s="156">
        <v>6000</v>
      </c>
    </row>
    <row r="323" spans="1:12" ht="24" customHeight="1">
      <c r="A323" s="22" t="s">
        <v>296</v>
      </c>
      <c r="B323" s="22"/>
      <c r="C323" s="15" t="s">
        <v>753</v>
      </c>
      <c r="D323" s="5"/>
      <c r="E323" s="34" t="s">
        <v>665</v>
      </c>
      <c r="F323" s="4"/>
      <c r="G323" s="4"/>
      <c r="H323" s="4">
        <v>0</v>
      </c>
      <c r="I323" s="4">
        <v>670</v>
      </c>
      <c r="J323" s="167">
        <v>0</v>
      </c>
      <c r="K323" s="156">
        <v>0</v>
      </c>
    </row>
    <row r="324" spans="1:12" ht="12.75" customHeight="1">
      <c r="A324" s="22" t="s">
        <v>661</v>
      </c>
      <c r="B324" s="22"/>
      <c r="C324" s="15" t="s">
        <v>85</v>
      </c>
      <c r="D324" s="5"/>
      <c r="E324" s="34" t="s">
        <v>283</v>
      </c>
      <c r="F324" s="4"/>
      <c r="G324" s="4"/>
      <c r="H324" s="4">
        <v>0</v>
      </c>
      <c r="I324" s="4">
        <v>0</v>
      </c>
      <c r="J324" s="167">
        <v>2</v>
      </c>
      <c r="K324" s="156">
        <v>2</v>
      </c>
    </row>
    <row r="325" spans="1:12" ht="12.75" customHeight="1">
      <c r="A325" s="22" t="s">
        <v>709</v>
      </c>
      <c r="B325" s="22"/>
      <c r="C325" s="15" t="s">
        <v>710</v>
      </c>
      <c r="D325" s="5"/>
      <c r="E325" s="34" t="s">
        <v>283</v>
      </c>
      <c r="F325" s="4"/>
      <c r="G325" s="4"/>
      <c r="H325" s="4">
        <v>0</v>
      </c>
      <c r="I325" s="4">
        <v>0</v>
      </c>
      <c r="J325" s="167">
        <v>1</v>
      </c>
      <c r="K325" s="156">
        <v>0</v>
      </c>
    </row>
    <row r="326" spans="1:12" ht="12.75" customHeight="1">
      <c r="A326" s="2348" t="s">
        <v>450</v>
      </c>
      <c r="B326" s="2348"/>
      <c r="C326" s="2348"/>
      <c r="D326" s="2348"/>
      <c r="E326" s="2348"/>
      <c r="F326" s="2348"/>
      <c r="G326" s="2348"/>
      <c r="H326" s="2348"/>
      <c r="I326" s="2348"/>
      <c r="J326" s="2349"/>
      <c r="K326" s="187"/>
    </row>
    <row r="327" spans="1:12" ht="12.75" customHeight="1">
      <c r="A327" s="2348" t="s">
        <v>281</v>
      </c>
      <c r="B327" s="2348"/>
      <c r="C327" s="2348"/>
      <c r="D327" s="2348"/>
      <c r="E327" s="2348"/>
      <c r="F327" s="2348"/>
      <c r="G327" s="2348"/>
      <c r="H327" s="2348"/>
      <c r="I327" s="2348"/>
      <c r="J327" s="2349"/>
      <c r="K327" s="187"/>
    </row>
    <row r="328" spans="1:12" ht="27" customHeight="1">
      <c r="A328" s="23" t="s">
        <v>507</v>
      </c>
      <c r="B328" s="23"/>
      <c r="C328" s="15" t="s">
        <v>435</v>
      </c>
      <c r="D328" s="18"/>
      <c r="E328" s="34" t="s">
        <v>283</v>
      </c>
      <c r="F328" s="35">
        <v>12</v>
      </c>
      <c r="G328" s="4">
        <v>11</v>
      </c>
      <c r="H328" s="4">
        <v>8</v>
      </c>
      <c r="I328" s="4">
        <v>7</v>
      </c>
      <c r="J328" s="167">
        <v>9</v>
      </c>
      <c r="K328" s="156">
        <v>9</v>
      </c>
    </row>
    <row r="329" spans="1:12" ht="15.75" customHeight="1">
      <c r="A329" s="23" t="s">
        <v>705</v>
      </c>
      <c r="B329" s="23"/>
      <c r="C329" s="15" t="s">
        <v>436</v>
      </c>
      <c r="D329" s="18"/>
      <c r="E329" s="34" t="s">
        <v>456</v>
      </c>
      <c r="F329" s="130">
        <f>F350/21*100</f>
        <v>47.619047619047613</v>
      </c>
      <c r="G329" s="130">
        <f>G350/21*100</f>
        <v>42.857142857142854</v>
      </c>
      <c r="H329" s="130">
        <f>H350/20*100</f>
        <v>40</v>
      </c>
      <c r="I329" s="130">
        <v>40</v>
      </c>
      <c r="J329" s="178">
        <f>J350/20*100</f>
        <v>40</v>
      </c>
      <c r="K329" s="273">
        <f>K350/20*100</f>
        <v>40</v>
      </c>
    </row>
    <row r="330" spans="1:12" ht="16.5" customHeight="1">
      <c r="A330" s="8" t="s">
        <v>166</v>
      </c>
      <c r="B330" s="8"/>
      <c r="C330" s="15" t="s">
        <v>167</v>
      </c>
      <c r="D330" s="18"/>
      <c r="E330" s="34" t="s">
        <v>456</v>
      </c>
      <c r="F330" s="130">
        <f>F353*100/254</f>
        <v>0</v>
      </c>
      <c r="G330" s="130">
        <f>G353*100/254</f>
        <v>1.9685039370078741</v>
      </c>
      <c r="H330" s="131">
        <f>H353*100/254</f>
        <v>1.9685039370078741</v>
      </c>
      <c r="I330" s="131" t="s">
        <v>711</v>
      </c>
      <c r="J330" s="179" t="s">
        <v>712</v>
      </c>
      <c r="K330" s="274" t="s">
        <v>712</v>
      </c>
      <c r="L330" s="38"/>
    </row>
    <row r="331" spans="1:12" ht="16.5" customHeight="1">
      <c r="A331" s="8" t="s">
        <v>59</v>
      </c>
      <c r="B331" s="8"/>
      <c r="C331" s="15" t="s">
        <v>748</v>
      </c>
      <c r="D331" s="18"/>
      <c r="E331" s="34" t="s">
        <v>249</v>
      </c>
      <c r="F331" s="130"/>
      <c r="G331" s="130" t="s">
        <v>65</v>
      </c>
      <c r="H331" s="131" t="s">
        <v>173</v>
      </c>
      <c r="I331" s="131" t="s">
        <v>173</v>
      </c>
      <c r="J331" s="179" t="s">
        <v>845</v>
      </c>
      <c r="K331" s="274" t="s">
        <v>845</v>
      </c>
      <c r="L331" s="38"/>
    </row>
    <row r="332" spans="1:12" ht="16.5" customHeight="1">
      <c r="A332" s="51" t="s">
        <v>71</v>
      </c>
      <c r="B332" s="8"/>
      <c r="C332" s="15" t="s">
        <v>60</v>
      </c>
      <c r="D332" s="18"/>
      <c r="E332" s="34" t="s">
        <v>456</v>
      </c>
      <c r="F332" s="130"/>
      <c r="G332" s="130"/>
      <c r="H332" s="131">
        <v>100</v>
      </c>
      <c r="I332" s="131">
        <v>100</v>
      </c>
      <c r="J332" s="179">
        <v>100</v>
      </c>
      <c r="K332" s="274">
        <v>100</v>
      </c>
      <c r="L332" s="38"/>
    </row>
    <row r="333" spans="1:12" ht="16.5" customHeight="1">
      <c r="A333" s="8" t="s">
        <v>713</v>
      </c>
      <c r="B333" s="8"/>
      <c r="C333" s="15" t="s">
        <v>714</v>
      </c>
      <c r="D333" s="18"/>
      <c r="E333" s="34" t="s">
        <v>283</v>
      </c>
      <c r="F333" s="130"/>
      <c r="G333" s="130"/>
      <c r="H333" s="131"/>
      <c r="I333" s="131">
        <v>2</v>
      </c>
      <c r="J333" s="179">
        <v>2</v>
      </c>
      <c r="K333" s="274">
        <v>2</v>
      </c>
      <c r="L333" s="38"/>
    </row>
    <row r="334" spans="1:12" ht="16.5" customHeight="1">
      <c r="A334" s="51" t="s">
        <v>140</v>
      </c>
      <c r="B334" s="8"/>
      <c r="C334" s="15" t="s">
        <v>141</v>
      </c>
      <c r="D334" s="18"/>
      <c r="E334" s="34" t="s">
        <v>283</v>
      </c>
      <c r="F334" s="130"/>
      <c r="G334" s="130"/>
      <c r="H334" s="131"/>
      <c r="I334" s="131">
        <v>1</v>
      </c>
      <c r="J334" s="179">
        <v>0</v>
      </c>
      <c r="K334" s="274">
        <v>0</v>
      </c>
      <c r="L334" s="38"/>
    </row>
    <row r="335" spans="1:12">
      <c r="A335" s="2352" t="s">
        <v>113</v>
      </c>
      <c r="B335" s="2352"/>
      <c r="C335" s="2352"/>
      <c r="D335" s="2352"/>
      <c r="E335" s="2352"/>
      <c r="F335" s="2352"/>
      <c r="G335" s="2352"/>
      <c r="H335" s="2352"/>
      <c r="I335" s="2352"/>
      <c r="J335" s="2353"/>
      <c r="K335" s="188"/>
    </row>
    <row r="336" spans="1:12" ht="12.75" hidden="1" customHeight="1">
      <c r="A336" s="2355" t="s">
        <v>168</v>
      </c>
      <c r="B336" s="2355"/>
      <c r="C336" s="2355"/>
      <c r="D336" s="2355"/>
      <c r="E336" s="2355"/>
      <c r="F336" s="2355"/>
      <c r="G336" s="2355"/>
      <c r="H336" s="2355"/>
      <c r="I336" s="2355"/>
      <c r="J336" s="2356"/>
      <c r="K336" s="197"/>
    </row>
    <row r="337" spans="1:12" ht="12.9" hidden="1">
      <c r="A337" s="49" t="s">
        <v>160</v>
      </c>
      <c r="B337" s="49"/>
      <c r="C337" s="45" t="s">
        <v>527</v>
      </c>
      <c r="D337" s="50"/>
      <c r="E337" s="47" t="s">
        <v>283</v>
      </c>
      <c r="F337" s="40">
        <v>2</v>
      </c>
      <c r="G337" s="40">
        <v>1</v>
      </c>
      <c r="H337" s="40">
        <v>0</v>
      </c>
      <c r="I337" s="40">
        <v>0</v>
      </c>
      <c r="J337" s="170">
        <v>0</v>
      </c>
      <c r="K337" s="192"/>
    </row>
    <row r="338" spans="1:12" ht="12.9" hidden="1">
      <c r="A338" s="49" t="s">
        <v>690</v>
      </c>
      <c r="B338" s="49"/>
      <c r="C338" s="45" t="s">
        <v>161</v>
      </c>
      <c r="D338" s="50"/>
      <c r="E338" s="47" t="s">
        <v>283</v>
      </c>
      <c r="F338" s="40">
        <v>0</v>
      </c>
      <c r="G338" s="40">
        <v>1</v>
      </c>
      <c r="H338" s="40">
        <v>0</v>
      </c>
      <c r="I338" s="40">
        <v>0</v>
      </c>
      <c r="J338" s="170">
        <v>0</v>
      </c>
      <c r="K338" s="192"/>
    </row>
    <row r="339" spans="1:12" ht="12.9" hidden="1">
      <c r="A339" s="49" t="s">
        <v>603</v>
      </c>
      <c r="B339" s="49"/>
      <c r="C339" s="45" t="s">
        <v>50</v>
      </c>
      <c r="D339" s="50"/>
      <c r="E339" s="47" t="s">
        <v>283</v>
      </c>
      <c r="F339" s="40">
        <v>0</v>
      </c>
      <c r="G339" s="40">
        <v>1</v>
      </c>
      <c r="H339" s="40">
        <v>0</v>
      </c>
      <c r="I339" s="40">
        <v>0</v>
      </c>
      <c r="J339" s="170">
        <v>0</v>
      </c>
      <c r="K339" s="192"/>
    </row>
    <row r="340" spans="1:12" ht="12.75" customHeight="1">
      <c r="A340" s="2350" t="s">
        <v>240</v>
      </c>
      <c r="B340" s="2350"/>
      <c r="C340" s="2350"/>
      <c r="D340" s="2350"/>
      <c r="E340" s="2350"/>
      <c r="F340" s="2350"/>
      <c r="G340" s="2350"/>
      <c r="H340" s="2350"/>
      <c r="I340" s="2350"/>
      <c r="J340" s="2351"/>
      <c r="K340" s="190"/>
    </row>
    <row r="341" spans="1:12" ht="12.9">
      <c r="A341" s="12" t="s">
        <v>212</v>
      </c>
      <c r="B341" s="12"/>
      <c r="C341" s="15" t="s">
        <v>241</v>
      </c>
      <c r="D341" s="5"/>
      <c r="E341" s="6" t="s">
        <v>456</v>
      </c>
      <c r="F341" s="7">
        <v>0</v>
      </c>
      <c r="G341" s="7">
        <v>192</v>
      </c>
      <c r="H341" s="7">
        <v>10</v>
      </c>
      <c r="I341" s="7">
        <v>20</v>
      </c>
      <c r="J341" s="142">
        <v>90</v>
      </c>
      <c r="K341" s="143">
        <v>100</v>
      </c>
      <c r="L341" s="38"/>
    </row>
    <row r="342" spans="1:12" ht="12.75" customHeight="1">
      <c r="A342" s="2350" t="s">
        <v>798</v>
      </c>
      <c r="B342" s="2350"/>
      <c r="C342" s="2350"/>
      <c r="D342" s="2350"/>
      <c r="E342" s="2350"/>
      <c r="F342" s="2350"/>
      <c r="G342" s="2350"/>
      <c r="H342" s="2350"/>
      <c r="I342" s="2350"/>
      <c r="J342" s="2351"/>
      <c r="K342" s="190"/>
    </row>
    <row r="343" spans="1:12" ht="12.9">
      <c r="A343" s="12" t="s">
        <v>492</v>
      </c>
      <c r="B343" s="12"/>
      <c r="C343" s="15" t="s">
        <v>652</v>
      </c>
      <c r="D343" s="5"/>
      <c r="E343" s="6" t="s">
        <v>283</v>
      </c>
      <c r="F343" s="7">
        <v>6</v>
      </c>
      <c r="G343" s="7">
        <v>8</v>
      </c>
      <c r="H343" s="7">
        <v>6</v>
      </c>
      <c r="I343" s="7">
        <v>1</v>
      </c>
      <c r="J343" s="142">
        <v>3</v>
      </c>
      <c r="K343" s="143">
        <v>3</v>
      </c>
    </row>
    <row r="344" spans="1:12" ht="12.9">
      <c r="A344" s="12" t="s">
        <v>659</v>
      </c>
      <c r="B344" s="12"/>
      <c r="C344" s="15" t="s">
        <v>40</v>
      </c>
      <c r="D344" s="5"/>
      <c r="E344" s="34" t="s">
        <v>283</v>
      </c>
      <c r="F344" s="4">
        <v>1</v>
      </c>
      <c r="G344" s="4">
        <v>3</v>
      </c>
      <c r="H344" s="4">
        <v>5</v>
      </c>
      <c r="I344" s="4">
        <v>1</v>
      </c>
      <c r="J344" s="167">
        <v>2</v>
      </c>
      <c r="K344" s="156">
        <v>2</v>
      </c>
    </row>
    <row r="345" spans="1:12" ht="12.75" customHeight="1">
      <c r="A345" s="2350" t="s">
        <v>391</v>
      </c>
      <c r="B345" s="2350"/>
      <c r="C345" s="2350"/>
      <c r="D345" s="2350"/>
      <c r="E345" s="2350"/>
      <c r="F345" s="2350"/>
      <c r="G345" s="2350"/>
      <c r="H345" s="2350"/>
      <c r="I345" s="2350"/>
      <c r="J345" s="2351"/>
      <c r="K345" s="190"/>
    </row>
    <row r="346" spans="1:12" ht="12.75" customHeight="1">
      <c r="A346" s="12" t="s">
        <v>754</v>
      </c>
      <c r="B346" s="12"/>
      <c r="C346" s="15" t="s">
        <v>392</v>
      </c>
      <c r="D346" s="17"/>
      <c r="E346" s="6" t="s">
        <v>665</v>
      </c>
      <c r="F346" s="7">
        <v>5000</v>
      </c>
      <c r="G346" s="7">
        <v>470</v>
      </c>
      <c r="H346" s="7">
        <v>1100</v>
      </c>
      <c r="I346" s="7">
        <v>1100</v>
      </c>
      <c r="J346" s="142">
        <v>1100</v>
      </c>
      <c r="K346" s="143">
        <v>1100</v>
      </c>
    </row>
    <row r="347" spans="1:12" ht="12.75" customHeight="1">
      <c r="A347" s="12" t="s">
        <v>397</v>
      </c>
      <c r="B347" s="12"/>
      <c r="C347" s="15" t="s">
        <v>201</v>
      </c>
      <c r="D347" s="17"/>
      <c r="E347" s="6" t="s">
        <v>283</v>
      </c>
      <c r="F347" s="7">
        <v>1</v>
      </c>
      <c r="G347" s="7">
        <v>0</v>
      </c>
      <c r="H347" s="7">
        <v>0</v>
      </c>
      <c r="I347" s="7">
        <v>0</v>
      </c>
      <c r="J347" s="142">
        <v>1</v>
      </c>
      <c r="K347" s="143">
        <v>1</v>
      </c>
      <c r="L347" s="31"/>
    </row>
    <row r="348" spans="1:12" ht="12.75" customHeight="1">
      <c r="A348" s="12" t="s">
        <v>42</v>
      </c>
      <c r="B348" s="12"/>
      <c r="C348" s="15" t="s">
        <v>41</v>
      </c>
      <c r="D348" s="17"/>
      <c r="E348" s="6" t="s">
        <v>283</v>
      </c>
      <c r="F348" s="7">
        <v>0</v>
      </c>
      <c r="G348" s="7">
        <v>0</v>
      </c>
      <c r="H348" s="7">
        <v>0</v>
      </c>
      <c r="I348" s="7">
        <v>0</v>
      </c>
      <c r="J348" s="142">
        <v>1</v>
      </c>
      <c r="K348" s="143">
        <v>1</v>
      </c>
      <c r="L348" s="31"/>
    </row>
    <row r="349" spans="1:12" ht="12.75" customHeight="1">
      <c r="A349" s="2357" t="s">
        <v>398</v>
      </c>
      <c r="B349" s="2358"/>
      <c r="C349" s="2358"/>
      <c r="D349" s="2358"/>
      <c r="E349" s="2358"/>
      <c r="F349" s="2358"/>
      <c r="G349" s="2358"/>
      <c r="H349" s="2358"/>
      <c r="I349" s="2358"/>
      <c r="J349" s="2358"/>
      <c r="K349" s="2359"/>
    </row>
    <row r="350" spans="1:12" ht="12.9">
      <c r="A350" s="12" t="s">
        <v>420</v>
      </c>
      <c r="B350" s="12"/>
      <c r="C350" s="15" t="s">
        <v>823</v>
      </c>
      <c r="D350" s="5"/>
      <c r="E350" s="6" t="s">
        <v>283</v>
      </c>
      <c r="F350" s="7">
        <v>10</v>
      </c>
      <c r="G350" s="7">
        <v>9</v>
      </c>
      <c r="H350" s="7">
        <v>8</v>
      </c>
      <c r="I350" s="7">
        <v>14</v>
      </c>
      <c r="J350" s="142">
        <v>8</v>
      </c>
      <c r="K350" s="143">
        <v>8</v>
      </c>
      <c r="L350" s="1"/>
    </row>
    <row r="351" spans="1:12" ht="12.9">
      <c r="A351" s="12" t="s">
        <v>37</v>
      </c>
      <c r="B351" s="12"/>
      <c r="C351" s="15" t="s">
        <v>651</v>
      </c>
      <c r="D351" s="5"/>
      <c r="E351" s="6" t="s">
        <v>283</v>
      </c>
      <c r="F351" s="7"/>
      <c r="G351" s="7">
        <v>1</v>
      </c>
      <c r="H351" s="7">
        <v>1</v>
      </c>
      <c r="I351" s="7">
        <v>2</v>
      </c>
      <c r="J351" s="142">
        <v>1</v>
      </c>
      <c r="K351" s="143">
        <v>1</v>
      </c>
      <c r="L351" s="1"/>
    </row>
    <row r="352" spans="1:12" ht="12.75" customHeight="1">
      <c r="A352" s="2350" t="s">
        <v>463</v>
      </c>
      <c r="B352" s="2350"/>
      <c r="C352" s="2350"/>
      <c r="D352" s="2350"/>
      <c r="E352" s="2350"/>
      <c r="F352" s="2350"/>
      <c r="G352" s="2350"/>
      <c r="H352" s="2350"/>
      <c r="I352" s="2350"/>
      <c r="J352" s="2351"/>
      <c r="K352" s="190"/>
    </row>
    <row r="353" spans="1:12" ht="14.9" customHeight="1">
      <c r="A353" s="12" t="s">
        <v>704</v>
      </c>
      <c r="B353" s="12"/>
      <c r="C353" s="15" t="s">
        <v>464</v>
      </c>
      <c r="D353" s="17"/>
      <c r="E353" s="6" t="s">
        <v>283</v>
      </c>
      <c r="F353" s="25">
        <v>0</v>
      </c>
      <c r="G353" s="25">
        <v>5</v>
      </c>
      <c r="H353" s="25">
        <v>5</v>
      </c>
      <c r="I353" s="25">
        <v>1</v>
      </c>
      <c r="J353" s="180">
        <v>1</v>
      </c>
      <c r="K353" s="198">
        <v>3</v>
      </c>
      <c r="L353" s="38"/>
    </row>
    <row r="354" spans="1:12" ht="26.25" hidden="1" customHeight="1">
      <c r="A354" s="2360"/>
      <c r="B354" s="2361"/>
      <c r="C354" s="2361"/>
      <c r="D354" s="2361"/>
      <c r="E354" s="2361"/>
      <c r="F354" s="2361"/>
      <c r="G354" s="2361"/>
      <c r="H354" s="2361"/>
      <c r="I354" s="2361"/>
      <c r="J354" s="2361"/>
      <c r="K354" s="199"/>
      <c r="L354" s="38"/>
    </row>
    <row r="355" spans="1:12" ht="14.9" hidden="1" customHeight="1">
      <c r="A355" s="12"/>
      <c r="B355" s="12"/>
      <c r="C355" s="15"/>
      <c r="D355" s="17"/>
      <c r="E355" s="6"/>
      <c r="F355" s="25"/>
      <c r="G355" s="25"/>
      <c r="H355" s="46"/>
      <c r="I355" s="46"/>
      <c r="J355" s="181"/>
      <c r="K355" s="200"/>
    </row>
    <row r="356" spans="1:12" ht="12.75" customHeight="1">
      <c r="A356" s="2348" t="s">
        <v>702</v>
      </c>
      <c r="B356" s="2348"/>
      <c r="C356" s="2348"/>
      <c r="D356" s="2348"/>
      <c r="E356" s="2348"/>
      <c r="F356" s="2348"/>
      <c r="G356" s="2348"/>
      <c r="H356" s="2348"/>
      <c r="I356" s="2348"/>
      <c r="J356" s="2349"/>
      <c r="K356" s="187"/>
    </row>
    <row r="357" spans="1:12" ht="12.75" customHeight="1">
      <c r="A357" s="2348" t="s">
        <v>281</v>
      </c>
      <c r="B357" s="2348"/>
      <c r="C357" s="2348"/>
      <c r="D357" s="2348"/>
      <c r="E357" s="2348"/>
      <c r="F357" s="2348"/>
      <c r="G357" s="2348"/>
      <c r="H357" s="2348"/>
      <c r="I357" s="2348"/>
      <c r="J357" s="2349"/>
      <c r="K357" s="187"/>
    </row>
    <row r="358" spans="1:12" ht="14.25" customHeight="1">
      <c r="A358" s="14" t="s">
        <v>279</v>
      </c>
      <c r="B358" s="14"/>
      <c r="C358" s="4" t="s">
        <v>703</v>
      </c>
      <c r="D358" s="33"/>
      <c r="E358" s="6" t="s">
        <v>456</v>
      </c>
      <c r="F358" s="25">
        <v>99</v>
      </c>
      <c r="G358" s="25">
        <v>99</v>
      </c>
      <c r="H358" s="25">
        <v>99</v>
      </c>
      <c r="I358" s="25">
        <v>99</v>
      </c>
      <c r="J358" s="180">
        <v>99</v>
      </c>
      <c r="K358" s="198">
        <v>99</v>
      </c>
    </row>
    <row r="359" spans="1:12">
      <c r="A359" s="2352" t="s">
        <v>113</v>
      </c>
      <c r="B359" s="2352"/>
      <c r="C359" s="2352"/>
      <c r="D359" s="2352"/>
      <c r="E359" s="2352"/>
      <c r="F359" s="2352"/>
      <c r="G359" s="2352"/>
      <c r="H359" s="2352"/>
      <c r="I359" s="2352"/>
      <c r="J359" s="2353"/>
      <c r="K359" s="188"/>
    </row>
    <row r="360" spans="1:12" ht="12.75" customHeight="1">
      <c r="A360" s="2350" t="s">
        <v>147</v>
      </c>
      <c r="B360" s="2350"/>
      <c r="C360" s="2350"/>
      <c r="D360" s="2350"/>
      <c r="E360" s="2350"/>
      <c r="F360" s="2350"/>
      <c r="G360" s="2350"/>
      <c r="H360" s="2350"/>
      <c r="I360" s="2350"/>
      <c r="J360" s="2351"/>
      <c r="K360" s="190"/>
    </row>
    <row r="361" spans="1:12" ht="12.75" customHeight="1">
      <c r="A361" s="11" t="s">
        <v>725</v>
      </c>
      <c r="B361" s="27"/>
      <c r="C361" s="15" t="s">
        <v>410</v>
      </c>
      <c r="D361" s="27"/>
      <c r="E361" s="6" t="s">
        <v>283</v>
      </c>
      <c r="F361" s="17"/>
      <c r="G361" s="17"/>
      <c r="H361" s="25" t="s">
        <v>612</v>
      </c>
      <c r="I361" s="25" t="s">
        <v>613</v>
      </c>
      <c r="J361" s="180" t="s">
        <v>613</v>
      </c>
      <c r="K361" s="198" t="s">
        <v>613</v>
      </c>
    </row>
    <row r="362" spans="1:12" ht="12.9">
      <c r="A362" s="11" t="s">
        <v>736</v>
      </c>
      <c r="B362" s="11"/>
      <c r="C362" s="15" t="s">
        <v>237</v>
      </c>
      <c r="D362" s="5"/>
      <c r="E362" s="6" t="s">
        <v>229</v>
      </c>
      <c r="F362" s="7">
        <v>1000000</v>
      </c>
      <c r="G362" s="7">
        <v>1000000</v>
      </c>
      <c r="H362" s="7">
        <v>1000000</v>
      </c>
      <c r="I362" s="7">
        <v>1000000</v>
      </c>
      <c r="J362" s="142">
        <v>1000000</v>
      </c>
      <c r="K362" s="143">
        <v>1000000</v>
      </c>
    </row>
    <row r="363" spans="1:12" ht="12.9">
      <c r="A363" s="11" t="s">
        <v>174</v>
      </c>
      <c r="B363" s="11"/>
      <c r="C363" s="4" t="s">
        <v>726</v>
      </c>
      <c r="D363" s="4" t="s">
        <v>402</v>
      </c>
      <c r="E363" s="6" t="s">
        <v>665</v>
      </c>
      <c r="F363" s="7"/>
      <c r="G363" s="7"/>
      <c r="H363" s="7">
        <v>3000</v>
      </c>
      <c r="I363" s="7">
        <v>3000</v>
      </c>
      <c r="J363" s="142">
        <v>3000</v>
      </c>
      <c r="K363" s="143">
        <v>3000</v>
      </c>
    </row>
    <row r="364" spans="1:12" ht="12.9">
      <c r="A364" s="11" t="s">
        <v>206</v>
      </c>
      <c r="B364" s="11"/>
      <c r="C364" s="4" t="s">
        <v>402</v>
      </c>
      <c r="D364" s="5"/>
      <c r="E364" s="6" t="s">
        <v>283</v>
      </c>
      <c r="F364" s="7">
        <v>0</v>
      </c>
      <c r="G364" s="7">
        <v>0</v>
      </c>
      <c r="H364" s="7">
        <v>0</v>
      </c>
      <c r="I364" s="7">
        <v>5</v>
      </c>
      <c r="J364" s="142">
        <v>30</v>
      </c>
      <c r="K364" s="143">
        <v>30</v>
      </c>
    </row>
    <row r="365" spans="1:12" ht="12.75" customHeight="1">
      <c r="A365" s="2350" t="s">
        <v>78</v>
      </c>
      <c r="B365" s="2350"/>
      <c r="C365" s="2350"/>
      <c r="D365" s="2350"/>
      <c r="E365" s="2350"/>
      <c r="F365" s="2350"/>
      <c r="G365" s="2350"/>
      <c r="H365" s="2350"/>
      <c r="I365" s="2350"/>
      <c r="J365" s="2351"/>
      <c r="K365" s="190"/>
    </row>
    <row r="366" spans="1:12" ht="12.9">
      <c r="A366" s="12" t="s">
        <v>230</v>
      </c>
      <c r="B366" s="12"/>
      <c r="C366" s="15" t="s">
        <v>231</v>
      </c>
      <c r="D366" s="5"/>
      <c r="E366" s="6" t="s">
        <v>283</v>
      </c>
      <c r="F366" s="7">
        <v>2</v>
      </c>
      <c r="G366" s="7">
        <v>2</v>
      </c>
      <c r="H366" s="7">
        <v>2</v>
      </c>
      <c r="I366" s="7">
        <v>2</v>
      </c>
      <c r="J366" s="142">
        <v>2</v>
      </c>
      <c r="K366" s="143">
        <v>2</v>
      </c>
    </row>
    <row r="367" spans="1:12" ht="12.9">
      <c r="A367" s="12" t="s">
        <v>474</v>
      </c>
      <c r="B367" s="12"/>
      <c r="C367" s="15" t="s">
        <v>1</v>
      </c>
      <c r="D367" s="5"/>
      <c r="E367" s="6" t="s">
        <v>283</v>
      </c>
      <c r="F367" s="7">
        <v>1</v>
      </c>
      <c r="G367" s="7">
        <v>0</v>
      </c>
      <c r="H367" s="7">
        <v>0</v>
      </c>
      <c r="I367" s="7">
        <v>1</v>
      </c>
      <c r="J367" s="142">
        <v>0</v>
      </c>
      <c r="K367" s="143">
        <v>0</v>
      </c>
    </row>
    <row r="368" spans="1:12" ht="12.9">
      <c r="A368" s="12" t="s">
        <v>89</v>
      </c>
      <c r="B368" s="12"/>
      <c r="C368" s="15" t="s">
        <v>278</v>
      </c>
      <c r="D368" s="5"/>
      <c r="E368" s="6" t="s">
        <v>283</v>
      </c>
      <c r="F368" s="7">
        <v>1</v>
      </c>
      <c r="G368" s="7">
        <v>1</v>
      </c>
      <c r="H368" s="7">
        <v>1</v>
      </c>
      <c r="I368" s="7">
        <v>1</v>
      </c>
      <c r="J368" s="142">
        <v>1</v>
      </c>
      <c r="K368" s="143">
        <v>0</v>
      </c>
    </row>
    <row r="369" spans="1:12" ht="12.9">
      <c r="A369" s="12" t="s">
        <v>88</v>
      </c>
      <c r="B369" s="12"/>
      <c r="C369" s="15" t="s">
        <v>90</v>
      </c>
      <c r="D369" s="5"/>
      <c r="E369" s="6" t="s">
        <v>456</v>
      </c>
      <c r="F369" s="7">
        <v>0</v>
      </c>
      <c r="G369" s="7">
        <v>0</v>
      </c>
      <c r="H369" s="7">
        <v>1</v>
      </c>
      <c r="I369" s="7" t="s">
        <v>142</v>
      </c>
      <c r="J369" s="142" t="s">
        <v>142</v>
      </c>
      <c r="K369" s="143">
        <v>0</v>
      </c>
    </row>
    <row r="370" spans="1:12" ht="12.75" hidden="1" customHeight="1">
      <c r="A370" s="2350" t="s">
        <v>203</v>
      </c>
      <c r="B370" s="2350"/>
      <c r="C370" s="2350"/>
      <c r="D370" s="2350"/>
      <c r="E370" s="2350"/>
      <c r="F370" s="2350"/>
      <c r="G370" s="2350"/>
      <c r="H370" s="2350"/>
      <c r="I370" s="2350"/>
      <c r="J370" s="2351"/>
      <c r="K370" s="190"/>
    </row>
    <row r="371" spans="1:12" ht="12.9" hidden="1">
      <c r="A371" s="12" t="s">
        <v>509</v>
      </c>
      <c r="B371" s="12"/>
      <c r="C371" s="15" t="s">
        <v>164</v>
      </c>
      <c r="D371" s="5"/>
      <c r="E371" s="6" t="s">
        <v>283</v>
      </c>
      <c r="F371" s="7">
        <v>0</v>
      </c>
      <c r="G371" s="40"/>
      <c r="H371" s="40"/>
      <c r="I371" s="40"/>
      <c r="J371" s="170"/>
      <c r="K371" s="192"/>
    </row>
    <row r="372" spans="1:12" ht="12.9" hidden="1">
      <c r="A372" s="2350" t="s">
        <v>163</v>
      </c>
      <c r="B372" s="2350"/>
      <c r="C372" s="2350"/>
      <c r="D372" s="2350"/>
      <c r="E372" s="2350"/>
      <c r="F372" s="2350"/>
      <c r="G372" s="2350"/>
      <c r="H372" s="2350"/>
      <c r="I372" s="2350"/>
      <c r="J372" s="2351"/>
      <c r="K372" s="190"/>
    </row>
    <row r="373" spans="1:12" ht="12.9" hidden="1">
      <c r="A373" s="12" t="s">
        <v>509</v>
      </c>
      <c r="B373" s="12"/>
      <c r="C373" s="15" t="s">
        <v>165</v>
      </c>
      <c r="D373" s="5"/>
      <c r="E373" s="6" t="s">
        <v>283</v>
      </c>
      <c r="F373" s="7">
        <v>0</v>
      </c>
      <c r="G373" s="40"/>
      <c r="H373" s="40"/>
      <c r="I373" s="40"/>
      <c r="J373" s="170"/>
      <c r="K373" s="192"/>
    </row>
    <row r="374" spans="1:12" ht="12.75" customHeight="1">
      <c r="A374" s="2344" t="s">
        <v>701</v>
      </c>
      <c r="B374" s="2344"/>
      <c r="C374" s="2344"/>
      <c r="D374" s="2344"/>
      <c r="E374" s="2344"/>
      <c r="F374" s="2344"/>
      <c r="G374" s="2344"/>
      <c r="H374" s="2344"/>
      <c r="I374" s="2344"/>
      <c r="J374" s="2345"/>
      <c r="K374" s="191"/>
    </row>
    <row r="375" spans="1:12" ht="12.75" customHeight="1">
      <c r="A375" s="2344" t="s">
        <v>698</v>
      </c>
      <c r="B375" s="2344"/>
      <c r="C375" s="2344"/>
      <c r="D375" s="2344"/>
      <c r="E375" s="2344"/>
      <c r="F375" s="2344"/>
      <c r="G375" s="2344"/>
      <c r="H375" s="2344"/>
      <c r="I375" s="2344"/>
      <c r="J375" s="2345"/>
      <c r="K375" s="191"/>
    </row>
    <row r="376" spans="1:12" ht="12.9">
      <c r="A376" s="14" t="s">
        <v>374</v>
      </c>
      <c r="B376" s="14"/>
      <c r="C376" s="4" t="s">
        <v>375</v>
      </c>
      <c r="D376" s="5"/>
      <c r="E376" s="6" t="s">
        <v>534</v>
      </c>
      <c r="F376" s="25">
        <v>15</v>
      </c>
      <c r="G376" s="25">
        <v>14</v>
      </c>
      <c r="H376" s="25">
        <v>15</v>
      </c>
      <c r="I376" s="25">
        <v>16</v>
      </c>
      <c r="J376" s="180">
        <v>16</v>
      </c>
      <c r="K376" s="198">
        <v>16</v>
      </c>
      <c r="L376" s="184"/>
    </row>
    <row r="377" spans="1:12" ht="12.9">
      <c r="A377" s="14" t="s">
        <v>376</v>
      </c>
      <c r="B377" s="14"/>
      <c r="C377" s="4" t="s">
        <v>377</v>
      </c>
      <c r="D377" s="5"/>
      <c r="E377" s="6" t="s">
        <v>534</v>
      </c>
      <c r="F377" s="7">
        <v>15</v>
      </c>
      <c r="G377" s="7">
        <v>20</v>
      </c>
      <c r="H377" s="7">
        <v>30</v>
      </c>
      <c r="I377" s="7">
        <v>35</v>
      </c>
      <c r="J377" s="142">
        <v>40</v>
      </c>
      <c r="K377" s="143">
        <v>40</v>
      </c>
    </row>
    <row r="378" spans="1:12" ht="13.5" customHeight="1">
      <c r="A378" s="14" t="s">
        <v>301</v>
      </c>
      <c r="B378" s="14"/>
      <c r="C378" s="4" t="s">
        <v>302</v>
      </c>
      <c r="D378" s="5"/>
      <c r="E378" s="6" t="s">
        <v>456</v>
      </c>
      <c r="F378" s="6" t="s">
        <v>150</v>
      </c>
      <c r="G378" s="6" t="s">
        <v>502</v>
      </c>
      <c r="H378" s="6" t="s">
        <v>852</v>
      </c>
      <c r="I378" s="6" t="s">
        <v>853</v>
      </c>
      <c r="J378" s="182" t="s">
        <v>346</v>
      </c>
      <c r="K378" s="272" t="s">
        <v>346</v>
      </c>
      <c r="L378" s="185"/>
    </row>
    <row r="379" spans="1:12" ht="19.75" customHeight="1">
      <c r="A379" s="2346" t="s">
        <v>214</v>
      </c>
      <c r="B379" s="2346"/>
      <c r="C379" s="2346"/>
      <c r="D379" s="2346"/>
      <c r="E379" s="2346"/>
      <c r="F379" s="2346"/>
      <c r="G379" s="2346"/>
      <c r="H379" s="2346"/>
      <c r="I379" s="2346"/>
      <c r="J379" s="2347"/>
      <c r="K379" s="186"/>
    </row>
    <row r="380" spans="1:12" ht="12.75" customHeight="1">
      <c r="A380" s="2348" t="s">
        <v>272</v>
      </c>
      <c r="B380" s="2348"/>
      <c r="C380" s="2348"/>
      <c r="D380" s="2348"/>
      <c r="E380" s="2348"/>
      <c r="F380" s="2348"/>
      <c r="G380" s="2348"/>
      <c r="H380" s="2348"/>
      <c r="I380" s="2348"/>
      <c r="J380" s="2349"/>
      <c r="K380" s="187"/>
    </row>
    <row r="381" spans="1:12" ht="12.75" customHeight="1">
      <c r="A381" s="2348" t="s">
        <v>281</v>
      </c>
      <c r="B381" s="2348"/>
      <c r="C381" s="2348"/>
      <c r="D381" s="2348"/>
      <c r="E381" s="2348"/>
      <c r="F381" s="2348"/>
      <c r="G381" s="2348"/>
      <c r="H381" s="2348"/>
      <c r="I381" s="2348"/>
      <c r="J381" s="2349"/>
      <c r="K381" s="187"/>
    </row>
    <row r="382" spans="1:12" ht="25.75">
      <c r="A382" s="14" t="s">
        <v>501</v>
      </c>
      <c r="B382" s="14"/>
      <c r="C382" s="4" t="s">
        <v>273</v>
      </c>
      <c r="D382" s="5"/>
      <c r="E382" s="9" t="s">
        <v>456</v>
      </c>
      <c r="F382" s="7">
        <v>90</v>
      </c>
      <c r="G382" s="7">
        <v>90</v>
      </c>
      <c r="H382" s="7">
        <v>85</v>
      </c>
      <c r="I382" s="7">
        <v>85</v>
      </c>
      <c r="J382" s="142">
        <v>85</v>
      </c>
      <c r="K382" s="143">
        <v>85</v>
      </c>
    </row>
    <row r="383" spans="1:12" ht="12.9">
      <c r="A383" s="14" t="s">
        <v>227</v>
      </c>
      <c r="B383" s="14"/>
      <c r="C383" s="4" t="s">
        <v>808</v>
      </c>
      <c r="D383" s="5"/>
      <c r="E383" s="6" t="s">
        <v>283</v>
      </c>
      <c r="F383" s="7">
        <v>5</v>
      </c>
      <c r="G383" s="7" t="e">
        <f>#REF!+G391</f>
        <v>#REF!</v>
      </c>
      <c r="H383" s="7">
        <f>H391</f>
        <v>8</v>
      </c>
      <c r="I383" s="7">
        <f>I391</f>
        <v>5</v>
      </c>
      <c r="J383" s="142">
        <f>J391</f>
        <v>5</v>
      </c>
      <c r="K383" s="143">
        <f>K391</f>
        <v>10</v>
      </c>
    </row>
    <row r="384" spans="1:12" ht="25.75">
      <c r="A384" s="14" t="s">
        <v>500</v>
      </c>
      <c r="B384" s="14"/>
      <c r="C384" s="4" t="s">
        <v>855</v>
      </c>
      <c r="D384" s="5"/>
      <c r="E384" s="6" t="s">
        <v>283</v>
      </c>
      <c r="F384" s="7"/>
      <c r="G384" s="7">
        <v>5</v>
      </c>
      <c r="H384" s="7">
        <v>8</v>
      </c>
      <c r="I384" s="7">
        <v>3</v>
      </c>
      <c r="J384" s="142">
        <v>3</v>
      </c>
      <c r="K384" s="143">
        <v>10</v>
      </c>
    </row>
    <row r="385" spans="1:11" ht="12.9">
      <c r="A385" s="14" t="s">
        <v>342</v>
      </c>
      <c r="B385" s="14"/>
      <c r="C385" s="4" t="s">
        <v>228</v>
      </c>
      <c r="D385" s="5"/>
      <c r="E385" s="6" t="s">
        <v>456</v>
      </c>
      <c r="F385" s="7"/>
      <c r="G385" s="7">
        <v>100</v>
      </c>
      <c r="H385" s="7">
        <v>100</v>
      </c>
      <c r="I385" s="7">
        <v>100</v>
      </c>
      <c r="J385" s="142">
        <v>100</v>
      </c>
      <c r="K385" s="143">
        <v>100</v>
      </c>
    </row>
    <row r="386" spans="1:11" ht="12.9">
      <c r="A386" s="10" t="s">
        <v>807</v>
      </c>
      <c r="B386" s="10"/>
      <c r="C386" s="4" t="s">
        <v>606</v>
      </c>
      <c r="D386" s="5"/>
      <c r="E386" s="6" t="s">
        <v>283</v>
      </c>
      <c r="F386" s="7">
        <v>3</v>
      </c>
      <c r="G386" s="7">
        <v>3</v>
      </c>
      <c r="H386" s="7">
        <v>3</v>
      </c>
      <c r="I386" s="7">
        <v>3</v>
      </c>
      <c r="J386" s="142">
        <v>3</v>
      </c>
      <c r="K386" s="143">
        <v>3</v>
      </c>
    </row>
    <row r="387" spans="1:11" ht="12.9">
      <c r="A387" s="10" t="s">
        <v>718</v>
      </c>
      <c r="B387" s="10"/>
      <c r="C387" s="4" t="s">
        <v>607</v>
      </c>
      <c r="D387" s="5"/>
      <c r="E387" s="6" t="s">
        <v>283</v>
      </c>
      <c r="F387" s="7">
        <v>5</v>
      </c>
      <c r="G387" s="7">
        <v>5</v>
      </c>
      <c r="H387" s="7">
        <v>5</v>
      </c>
      <c r="I387" s="7">
        <v>5</v>
      </c>
      <c r="J387" s="142">
        <v>5</v>
      </c>
      <c r="K387" s="143">
        <v>5</v>
      </c>
    </row>
    <row r="388" spans="1:11">
      <c r="A388" s="2352" t="s">
        <v>113</v>
      </c>
      <c r="B388" s="2352"/>
      <c r="C388" s="2352"/>
      <c r="D388" s="2352"/>
      <c r="E388" s="2352"/>
      <c r="F388" s="2352"/>
      <c r="G388" s="2352"/>
      <c r="H388" s="2352"/>
      <c r="I388" s="2352"/>
      <c r="J388" s="2353"/>
      <c r="K388" s="188"/>
    </row>
    <row r="389" spans="1:11" ht="12.75" customHeight="1">
      <c r="A389" s="2350" t="s">
        <v>252</v>
      </c>
      <c r="B389" s="2350"/>
      <c r="C389" s="2350"/>
      <c r="D389" s="2350"/>
      <c r="E389" s="2350"/>
      <c r="F389" s="2350"/>
      <c r="G389" s="2350"/>
      <c r="H389" s="2350"/>
      <c r="I389" s="2350"/>
      <c r="J389" s="2351"/>
      <c r="K389" s="190"/>
    </row>
    <row r="390" spans="1:11" ht="12.75" customHeight="1">
      <c r="A390" s="11" t="s">
        <v>146</v>
      </c>
      <c r="B390" s="27"/>
      <c r="C390" s="4" t="s">
        <v>253</v>
      </c>
      <c r="D390" s="17"/>
      <c r="E390" s="6" t="s">
        <v>283</v>
      </c>
      <c r="F390" s="7" t="s">
        <v>469</v>
      </c>
      <c r="G390" s="7">
        <v>3</v>
      </c>
      <c r="H390" s="7">
        <v>2</v>
      </c>
      <c r="I390" s="7">
        <v>2</v>
      </c>
      <c r="J390" s="142">
        <v>2</v>
      </c>
      <c r="K390" s="143">
        <v>2</v>
      </c>
    </row>
    <row r="391" spans="1:11" ht="12.9">
      <c r="A391" s="11" t="s">
        <v>608</v>
      </c>
      <c r="B391" s="11"/>
      <c r="C391" s="4" t="s">
        <v>255</v>
      </c>
      <c r="D391" s="5"/>
      <c r="E391" s="6" t="s">
        <v>568</v>
      </c>
      <c r="F391" s="7"/>
      <c r="G391" s="7">
        <v>8</v>
      </c>
      <c r="H391" s="7">
        <v>8</v>
      </c>
      <c r="I391" s="7">
        <v>5</v>
      </c>
      <c r="J391" s="142">
        <v>5</v>
      </c>
      <c r="K391" s="143">
        <v>10</v>
      </c>
    </row>
    <row r="392" spans="1:11" ht="12.9">
      <c r="A392" s="11" t="s">
        <v>254</v>
      </c>
      <c r="B392" s="11"/>
      <c r="C392" s="4" t="s">
        <v>256</v>
      </c>
      <c r="D392" s="5"/>
      <c r="E392" s="6" t="s">
        <v>283</v>
      </c>
      <c r="F392" s="7">
        <v>1</v>
      </c>
      <c r="G392" s="7">
        <v>2</v>
      </c>
      <c r="H392" s="7">
        <v>2</v>
      </c>
      <c r="I392" s="7">
        <v>2</v>
      </c>
      <c r="J392" s="142">
        <v>2</v>
      </c>
      <c r="K392" s="143">
        <v>2</v>
      </c>
    </row>
    <row r="393" spans="1:11" ht="12.9">
      <c r="A393" s="11" t="s">
        <v>343</v>
      </c>
      <c r="B393" s="11"/>
      <c r="C393" s="4" t="s">
        <v>115</v>
      </c>
      <c r="D393" s="5"/>
      <c r="E393" s="6" t="s">
        <v>283</v>
      </c>
      <c r="F393" s="7">
        <v>1</v>
      </c>
      <c r="G393" s="7">
        <v>1</v>
      </c>
      <c r="H393" s="7">
        <v>1</v>
      </c>
      <c r="I393" s="7">
        <v>1</v>
      </c>
      <c r="J393" s="142">
        <v>0</v>
      </c>
      <c r="K393" s="143">
        <v>0</v>
      </c>
    </row>
    <row r="394" spans="1:11" ht="25.75">
      <c r="A394" s="12" t="s">
        <v>854</v>
      </c>
      <c r="B394" s="11"/>
      <c r="C394" s="4" t="s">
        <v>116</v>
      </c>
      <c r="D394" s="5"/>
      <c r="E394" s="6" t="s">
        <v>117</v>
      </c>
      <c r="F394" s="7">
        <v>1400</v>
      </c>
      <c r="G394" s="7">
        <v>700</v>
      </c>
      <c r="H394" s="7">
        <v>600</v>
      </c>
      <c r="I394" s="7">
        <v>650</v>
      </c>
      <c r="J394" s="142">
        <v>700</v>
      </c>
      <c r="K394" s="143">
        <v>700</v>
      </c>
    </row>
    <row r="395" spans="1:11" ht="12.9">
      <c r="A395" s="12" t="s">
        <v>672</v>
      </c>
      <c r="B395" s="11"/>
      <c r="C395" s="4" t="s">
        <v>673</v>
      </c>
      <c r="D395" s="5"/>
      <c r="E395" s="6" t="s">
        <v>117</v>
      </c>
      <c r="F395" s="7">
        <v>80</v>
      </c>
      <c r="G395" s="7">
        <v>50</v>
      </c>
      <c r="H395" s="7">
        <v>40</v>
      </c>
      <c r="I395" s="7">
        <v>40</v>
      </c>
      <c r="J395" s="142">
        <v>50</v>
      </c>
      <c r="K395" s="143">
        <v>50</v>
      </c>
    </row>
    <row r="396" spans="1:11" ht="12.9">
      <c r="A396" s="12" t="s">
        <v>219</v>
      </c>
      <c r="B396" s="11"/>
      <c r="C396" s="4" t="s">
        <v>567</v>
      </c>
      <c r="D396" s="5"/>
      <c r="E396" s="6" t="s">
        <v>283</v>
      </c>
      <c r="F396" s="7"/>
      <c r="G396" s="7"/>
      <c r="H396" s="7">
        <v>1</v>
      </c>
      <c r="I396" s="7">
        <v>1</v>
      </c>
      <c r="J396" s="142">
        <v>1</v>
      </c>
      <c r="K396" s="143">
        <v>1</v>
      </c>
    </row>
    <row r="397" spans="1:11" ht="12.9">
      <c r="A397" s="12" t="s">
        <v>571</v>
      </c>
      <c r="B397" s="11"/>
      <c r="C397" s="4" t="s">
        <v>322</v>
      </c>
      <c r="D397" s="5"/>
      <c r="E397" s="6" t="s">
        <v>283</v>
      </c>
      <c r="F397" s="7"/>
      <c r="G397" s="7"/>
      <c r="H397" s="7">
        <v>1</v>
      </c>
      <c r="I397" s="7">
        <v>1</v>
      </c>
      <c r="J397" s="142">
        <v>1</v>
      </c>
      <c r="K397" s="143">
        <v>1</v>
      </c>
    </row>
    <row r="398" spans="1:11" ht="12.9">
      <c r="A398" s="12" t="s">
        <v>563</v>
      </c>
      <c r="B398" s="11"/>
      <c r="C398" s="4" t="s">
        <v>564</v>
      </c>
      <c r="D398" s="5"/>
      <c r="E398" s="6" t="s">
        <v>283</v>
      </c>
      <c r="F398" s="7"/>
      <c r="G398" s="7"/>
      <c r="H398" s="7">
        <v>1</v>
      </c>
      <c r="I398" s="7">
        <v>0</v>
      </c>
      <c r="J398" s="142">
        <v>0</v>
      </c>
      <c r="K398" s="143">
        <v>0</v>
      </c>
    </row>
    <row r="399" spans="1:11" ht="12.75" customHeight="1">
      <c r="A399" s="2348" t="s">
        <v>257</v>
      </c>
      <c r="B399" s="2348"/>
      <c r="C399" s="2348"/>
      <c r="D399" s="2348"/>
      <c r="E399" s="2348"/>
      <c r="F399" s="2348"/>
      <c r="G399" s="2348"/>
      <c r="H399" s="2348"/>
      <c r="I399" s="2348"/>
      <c r="J399" s="2349"/>
      <c r="K399" s="187"/>
    </row>
    <row r="400" spans="1:11" ht="12.75" customHeight="1">
      <c r="A400" s="2348" t="s">
        <v>281</v>
      </c>
      <c r="B400" s="2348"/>
      <c r="C400" s="2348"/>
      <c r="D400" s="2348"/>
      <c r="E400" s="2348"/>
      <c r="F400" s="2348"/>
      <c r="G400" s="2348"/>
      <c r="H400" s="2348"/>
      <c r="I400" s="2348"/>
      <c r="J400" s="2349"/>
      <c r="K400" s="187"/>
    </row>
    <row r="401" spans="1:11" ht="12.9">
      <c r="A401" s="8" t="s">
        <v>298</v>
      </c>
      <c r="B401" s="8"/>
      <c r="C401" s="4" t="s">
        <v>299</v>
      </c>
      <c r="D401" s="5"/>
      <c r="E401" s="9" t="s">
        <v>317</v>
      </c>
      <c r="F401" s="7" t="s">
        <v>300</v>
      </c>
      <c r="G401" s="7" t="s">
        <v>318</v>
      </c>
      <c r="H401" s="7" t="s">
        <v>518</v>
      </c>
      <c r="I401" s="7" t="s">
        <v>320</v>
      </c>
      <c r="J401" s="142" t="s">
        <v>572</v>
      </c>
      <c r="K401" s="143" t="s">
        <v>572</v>
      </c>
    </row>
    <row r="402" spans="1:11" ht="16.5" customHeight="1">
      <c r="A402" s="14" t="s">
        <v>336</v>
      </c>
      <c r="B402" s="8"/>
      <c r="C402" s="4" t="s">
        <v>740</v>
      </c>
      <c r="D402" s="5"/>
      <c r="E402" s="9" t="s">
        <v>270</v>
      </c>
      <c r="F402" s="7"/>
      <c r="G402" s="7"/>
      <c r="H402" s="7">
        <v>0</v>
      </c>
      <c r="I402" s="183" t="s">
        <v>337</v>
      </c>
      <c r="J402" s="183" t="s">
        <v>337</v>
      </c>
      <c r="K402" s="157" t="s">
        <v>337</v>
      </c>
    </row>
    <row r="403" spans="1:11">
      <c r="A403" s="2352" t="s">
        <v>113</v>
      </c>
      <c r="B403" s="2352"/>
      <c r="C403" s="2352"/>
      <c r="D403" s="2352"/>
      <c r="E403" s="2352"/>
      <c r="F403" s="2352"/>
      <c r="G403" s="2352"/>
      <c r="H403" s="2352"/>
      <c r="I403" s="2352"/>
      <c r="J403" s="2353"/>
      <c r="K403" s="188"/>
    </row>
    <row r="404" spans="1:11" ht="12.75" customHeight="1">
      <c r="A404" s="2350" t="s">
        <v>459</v>
      </c>
      <c r="B404" s="2350"/>
      <c r="C404" s="2350"/>
      <c r="D404" s="2350"/>
      <c r="E404" s="2350"/>
      <c r="F404" s="2350"/>
      <c r="G404" s="2350"/>
      <c r="H404" s="2350"/>
      <c r="I404" s="2350"/>
      <c r="J404" s="2351"/>
      <c r="K404" s="190"/>
    </row>
    <row r="405" spans="1:11" ht="12.9">
      <c r="A405" s="11" t="s">
        <v>96</v>
      </c>
      <c r="B405" s="11"/>
      <c r="C405" s="15" t="s">
        <v>460</v>
      </c>
      <c r="D405" s="5"/>
      <c r="E405" s="6" t="s">
        <v>283</v>
      </c>
      <c r="F405" s="7">
        <v>6</v>
      </c>
      <c r="G405" s="7">
        <v>2</v>
      </c>
      <c r="H405" s="7">
        <v>8</v>
      </c>
      <c r="I405" s="7">
        <v>3</v>
      </c>
      <c r="J405" s="142">
        <v>3</v>
      </c>
      <c r="K405" s="143">
        <v>3</v>
      </c>
    </row>
    <row r="406" spans="1:11" ht="12.9">
      <c r="A406" s="11" t="s">
        <v>614</v>
      </c>
      <c r="B406" s="12"/>
      <c r="C406" s="15" t="s">
        <v>61</v>
      </c>
      <c r="D406" s="5"/>
      <c r="E406" s="6" t="s">
        <v>283</v>
      </c>
      <c r="F406" s="7"/>
      <c r="G406" s="7">
        <v>2</v>
      </c>
      <c r="H406" s="7">
        <v>6</v>
      </c>
      <c r="I406" s="7">
        <v>5</v>
      </c>
      <c r="J406" s="142">
        <v>3</v>
      </c>
      <c r="K406" s="143">
        <v>3</v>
      </c>
    </row>
    <row r="407" spans="1:11" ht="12.75" customHeight="1">
      <c r="A407" s="2354" t="s">
        <v>461</v>
      </c>
      <c r="B407" s="2354"/>
      <c r="C407" s="2354"/>
      <c r="D407" s="2354"/>
      <c r="E407" s="2354"/>
      <c r="F407" s="2354"/>
      <c r="G407" s="2354"/>
      <c r="H407" s="2354"/>
      <c r="I407" s="2350"/>
      <c r="J407" s="2351"/>
      <c r="K407" s="190"/>
    </row>
    <row r="408" spans="1:11" ht="12.9">
      <c r="A408" s="52" t="s">
        <v>850</v>
      </c>
      <c r="B408" s="53" t="s">
        <v>653</v>
      </c>
      <c r="C408" s="53" t="s">
        <v>653</v>
      </c>
      <c r="D408" s="53">
        <v>1</v>
      </c>
      <c r="E408" s="54" t="s">
        <v>283</v>
      </c>
      <c r="F408" s="53">
        <v>6</v>
      </c>
      <c r="G408" s="53">
        <v>4</v>
      </c>
      <c r="H408" s="53">
        <v>1</v>
      </c>
      <c r="I408" s="73">
        <v>1</v>
      </c>
      <c r="J408" s="142">
        <v>1</v>
      </c>
      <c r="K408" s="143">
        <v>1</v>
      </c>
    </row>
    <row r="409" spans="1:11" ht="12.9">
      <c r="A409" s="52" t="s">
        <v>827</v>
      </c>
      <c r="B409" s="53" t="s">
        <v>828</v>
      </c>
      <c r="C409" s="53" t="s">
        <v>851</v>
      </c>
      <c r="D409" s="53">
        <v>2</v>
      </c>
      <c r="E409" s="54" t="s">
        <v>283</v>
      </c>
      <c r="F409" s="53">
        <v>4</v>
      </c>
      <c r="G409" s="53">
        <v>4</v>
      </c>
      <c r="H409" s="53">
        <v>1</v>
      </c>
      <c r="I409" s="73">
        <v>0</v>
      </c>
      <c r="J409" s="142">
        <v>0</v>
      </c>
      <c r="K409" s="143">
        <v>0</v>
      </c>
    </row>
    <row r="410" spans="1:11" ht="12.9">
      <c r="A410" s="207" t="s">
        <v>236</v>
      </c>
      <c r="B410" s="208" t="s">
        <v>285</v>
      </c>
      <c r="C410" s="208" t="s">
        <v>285</v>
      </c>
      <c r="D410" s="208">
        <v>5</v>
      </c>
      <c r="E410" s="209" t="s">
        <v>283</v>
      </c>
      <c r="F410" s="208">
        <v>5</v>
      </c>
      <c r="G410" s="208">
        <v>4</v>
      </c>
      <c r="H410" s="208">
        <v>7</v>
      </c>
      <c r="I410" s="210">
        <v>5</v>
      </c>
      <c r="J410" s="149">
        <v>5</v>
      </c>
      <c r="K410" s="143">
        <v>5</v>
      </c>
    </row>
    <row r="411" spans="1:11" ht="25.5" customHeight="1">
      <c r="A411" s="213" t="s">
        <v>497</v>
      </c>
      <c r="B411" s="214"/>
      <c r="C411" s="214"/>
      <c r="D411" s="214"/>
      <c r="E411" s="214"/>
      <c r="F411" s="214"/>
      <c r="G411" s="214"/>
      <c r="H411" s="214"/>
      <c r="I411" s="214"/>
      <c r="J411" s="214"/>
      <c r="K411" s="215"/>
    </row>
    <row r="412" spans="1:11" ht="27.75" customHeight="1">
      <c r="A412" s="211" t="s">
        <v>144</v>
      </c>
      <c r="B412" s="68"/>
      <c r="C412" s="203" t="s">
        <v>498</v>
      </c>
      <c r="D412" s="70"/>
      <c r="E412" s="163" t="s">
        <v>143</v>
      </c>
      <c r="F412" s="71"/>
      <c r="G412" s="71"/>
      <c r="H412" s="162" t="s">
        <v>612</v>
      </c>
      <c r="I412" s="162">
        <v>9</v>
      </c>
      <c r="J412" s="212" t="s">
        <v>613</v>
      </c>
      <c r="K412" s="156" t="s">
        <v>613</v>
      </c>
    </row>
    <row r="413" spans="1:11" ht="12.9">
      <c r="A413" s="12" t="s">
        <v>576</v>
      </c>
      <c r="B413" s="12"/>
      <c r="C413" s="15" t="s">
        <v>611</v>
      </c>
      <c r="D413" s="5"/>
      <c r="E413" s="6" t="s">
        <v>283</v>
      </c>
      <c r="F413" s="7"/>
      <c r="G413" s="7">
        <v>0</v>
      </c>
      <c r="H413" s="4">
        <v>1</v>
      </c>
      <c r="I413" s="4">
        <v>2</v>
      </c>
      <c r="J413" s="167">
        <v>0</v>
      </c>
      <c r="K413" s="156">
        <v>0</v>
      </c>
    </row>
    <row r="414" spans="1:11" ht="27.75" customHeight="1">
      <c r="A414" s="43" t="s">
        <v>335</v>
      </c>
      <c r="B414" s="43"/>
      <c r="C414" s="201" t="s">
        <v>334</v>
      </c>
      <c r="D414" s="133"/>
      <c r="E414" s="153" t="s">
        <v>283</v>
      </c>
      <c r="F414" s="154"/>
      <c r="G414" s="154"/>
      <c r="H414" s="152">
        <v>0</v>
      </c>
      <c r="I414" s="152">
        <v>1</v>
      </c>
      <c r="J414" s="202">
        <v>0</v>
      </c>
      <c r="K414" s="156">
        <v>0</v>
      </c>
    </row>
    <row r="415" spans="1:11" ht="12.75" customHeight="1">
      <c r="A415" s="216" t="s">
        <v>329</v>
      </c>
      <c r="B415" s="217"/>
      <c r="C415" s="217"/>
      <c r="D415" s="217"/>
      <c r="E415" s="217"/>
      <c r="F415" s="217"/>
      <c r="G415" s="217"/>
      <c r="H415" s="217"/>
      <c r="I415" s="217"/>
      <c r="J415" s="217"/>
      <c r="K415" s="205"/>
    </row>
    <row r="416" spans="1:11" ht="12.75" customHeight="1">
      <c r="A416" s="218" t="s">
        <v>281</v>
      </c>
      <c r="B416" s="219"/>
      <c r="C416" s="219"/>
      <c r="D416" s="219"/>
      <c r="E416" s="219"/>
      <c r="F416" s="219"/>
      <c r="G416" s="219"/>
      <c r="H416" s="219"/>
      <c r="I416" s="219"/>
      <c r="J416" s="219"/>
      <c r="K416" s="206"/>
    </row>
    <row r="417" spans="1:11" ht="15" customHeight="1">
      <c r="A417" s="134" t="s">
        <v>615</v>
      </c>
      <c r="B417" s="134"/>
      <c r="C417" s="203" t="s">
        <v>330</v>
      </c>
      <c r="D417" s="135"/>
      <c r="E417" s="136" t="s">
        <v>283</v>
      </c>
      <c r="F417" s="137">
        <v>2</v>
      </c>
      <c r="G417" s="137">
        <v>1</v>
      </c>
      <c r="H417" s="137">
        <v>1</v>
      </c>
      <c r="I417" s="137">
        <v>1</v>
      </c>
      <c r="J417" s="165">
        <v>1</v>
      </c>
      <c r="K417" s="143">
        <v>1</v>
      </c>
    </row>
    <row r="418" spans="1:11" ht="15" customHeight="1">
      <c r="A418" s="8" t="s">
        <v>616</v>
      </c>
      <c r="B418" s="8"/>
      <c r="C418" s="15" t="s">
        <v>617</v>
      </c>
      <c r="D418" s="5"/>
      <c r="E418" s="6" t="s">
        <v>283</v>
      </c>
      <c r="F418" s="7"/>
      <c r="G418" s="7"/>
      <c r="H418" s="7">
        <v>1</v>
      </c>
      <c r="I418" s="7">
        <v>0</v>
      </c>
      <c r="J418" s="142">
        <v>0</v>
      </c>
      <c r="K418" s="143">
        <v>0</v>
      </c>
    </row>
    <row r="419" spans="1:11">
      <c r="A419" s="166" t="s">
        <v>113</v>
      </c>
      <c r="B419" s="220"/>
      <c r="C419" s="220"/>
      <c r="D419" s="220"/>
      <c r="E419" s="220"/>
      <c r="F419" s="220"/>
      <c r="G419" s="220"/>
      <c r="H419" s="220"/>
      <c r="I419" s="220"/>
      <c r="J419" s="2342"/>
      <c r="K419" s="2343"/>
    </row>
    <row r="420" spans="1:11" ht="12.75" customHeight="1">
      <c r="A420" s="160" t="s">
        <v>331</v>
      </c>
      <c r="B420" s="161"/>
      <c r="C420" s="161"/>
      <c r="D420" s="161"/>
      <c r="E420" s="161"/>
      <c r="F420" s="161"/>
      <c r="G420" s="161"/>
      <c r="H420" s="161"/>
      <c r="I420" s="161"/>
      <c r="J420" s="161"/>
      <c r="K420" s="215"/>
    </row>
    <row r="421" spans="1:11" ht="12.75" customHeight="1">
      <c r="A421" s="11" t="s">
        <v>10</v>
      </c>
      <c r="B421" s="27"/>
      <c r="C421" s="4" t="s">
        <v>619</v>
      </c>
      <c r="D421" s="27"/>
      <c r="E421" s="6" t="s">
        <v>456</v>
      </c>
      <c r="F421" s="17"/>
      <c r="G421" s="17"/>
      <c r="H421" s="7" t="s">
        <v>11</v>
      </c>
      <c r="I421" s="7">
        <v>30</v>
      </c>
      <c r="J421" s="142">
        <v>50</v>
      </c>
      <c r="K421" s="143">
        <v>30</v>
      </c>
    </row>
    <row r="422" spans="1:11" ht="12.9">
      <c r="A422" s="11" t="s">
        <v>618</v>
      </c>
      <c r="B422" s="11"/>
      <c r="C422" s="4" t="s">
        <v>379</v>
      </c>
      <c r="D422" s="5"/>
      <c r="E422" s="6" t="s">
        <v>283</v>
      </c>
      <c r="F422" s="7">
        <v>0</v>
      </c>
      <c r="G422" s="7">
        <v>0</v>
      </c>
      <c r="H422" s="7">
        <v>0</v>
      </c>
      <c r="I422" s="7">
        <v>0</v>
      </c>
      <c r="J422" s="142">
        <v>1</v>
      </c>
      <c r="K422" s="143">
        <v>0</v>
      </c>
    </row>
    <row r="423" spans="1:11" ht="12.9">
      <c r="A423" s="11" t="s">
        <v>482</v>
      </c>
      <c r="B423" s="11"/>
      <c r="C423" s="4" t="s">
        <v>483</v>
      </c>
      <c r="D423" s="5"/>
      <c r="E423" s="6" t="s">
        <v>283</v>
      </c>
      <c r="F423" s="7">
        <v>0</v>
      </c>
      <c r="G423" s="7">
        <v>0</v>
      </c>
      <c r="H423" s="7">
        <v>0</v>
      </c>
      <c r="I423" s="7">
        <v>0</v>
      </c>
      <c r="J423" s="142">
        <v>1</v>
      </c>
      <c r="K423" s="143">
        <v>1</v>
      </c>
    </row>
    <row r="424" spans="1:11" ht="12.9">
      <c r="A424" s="11" t="s">
        <v>403</v>
      </c>
      <c r="B424" s="11"/>
      <c r="C424" s="4" t="s">
        <v>404</v>
      </c>
      <c r="D424" s="33"/>
      <c r="E424" s="6" t="s">
        <v>283</v>
      </c>
      <c r="F424" s="7"/>
      <c r="G424" s="7">
        <v>1</v>
      </c>
      <c r="H424" s="7">
        <v>1</v>
      </c>
      <c r="I424" s="7">
        <v>1</v>
      </c>
      <c r="J424" s="142">
        <v>1</v>
      </c>
      <c r="K424" s="143">
        <v>1</v>
      </c>
    </row>
    <row r="425" spans="1:11" ht="12.75" customHeight="1">
      <c r="A425" s="160" t="s">
        <v>560</v>
      </c>
      <c r="B425" s="161"/>
      <c r="C425" s="161"/>
      <c r="D425" s="161"/>
      <c r="E425" s="161"/>
      <c r="F425" s="161"/>
      <c r="G425" s="161"/>
      <c r="H425" s="161"/>
      <c r="I425" s="161"/>
      <c r="J425" s="221"/>
      <c r="K425" s="190"/>
    </row>
    <row r="426" spans="1:11" ht="12.9">
      <c r="A426" s="12" t="s">
        <v>466</v>
      </c>
      <c r="B426" s="12"/>
      <c r="C426" s="4" t="s">
        <v>467</v>
      </c>
      <c r="D426" s="5"/>
      <c r="E426" s="6" t="s">
        <v>283</v>
      </c>
      <c r="F426" s="7">
        <v>1</v>
      </c>
      <c r="G426" s="7">
        <v>1</v>
      </c>
      <c r="H426" s="7">
        <v>1</v>
      </c>
      <c r="I426" s="7">
        <v>1</v>
      </c>
      <c r="J426" s="142">
        <v>1</v>
      </c>
      <c r="K426" s="143">
        <v>1</v>
      </c>
    </row>
    <row r="427" spans="1:11" ht="14.25" customHeight="1">
      <c r="A427" s="43" t="s">
        <v>378</v>
      </c>
      <c r="B427" s="43"/>
      <c r="C427" s="152" t="s">
        <v>468</v>
      </c>
      <c r="D427" s="133"/>
      <c r="E427" s="153" t="s">
        <v>283</v>
      </c>
      <c r="F427" s="154">
        <v>1</v>
      </c>
      <c r="G427" s="154">
        <v>1</v>
      </c>
      <c r="H427" s="154">
        <v>1</v>
      </c>
      <c r="I427" s="154">
        <v>1</v>
      </c>
      <c r="J427" s="149">
        <v>1</v>
      </c>
      <c r="K427" s="143">
        <v>1</v>
      </c>
    </row>
    <row r="428" spans="1:11" ht="14.25" customHeight="1">
      <c r="A428" s="155" t="s">
        <v>562</v>
      </c>
      <c r="B428" s="155"/>
      <c r="C428" s="156" t="s">
        <v>561</v>
      </c>
      <c r="D428" s="139"/>
      <c r="E428" s="157" t="s">
        <v>456</v>
      </c>
      <c r="F428" s="143"/>
      <c r="G428" s="143"/>
      <c r="H428" s="143">
        <v>100</v>
      </c>
      <c r="I428" s="143">
        <v>100</v>
      </c>
      <c r="J428" s="171">
        <v>100</v>
      </c>
      <c r="K428" s="143">
        <v>100</v>
      </c>
    </row>
    <row r="429" spans="1:11" ht="12.9">
      <c r="A429" s="155" t="s">
        <v>80</v>
      </c>
      <c r="B429" s="155"/>
      <c r="C429" s="156" t="s">
        <v>79</v>
      </c>
      <c r="D429" s="139"/>
      <c r="E429" s="157" t="s">
        <v>283</v>
      </c>
      <c r="F429" s="143">
        <v>1</v>
      </c>
      <c r="G429" s="143">
        <v>1</v>
      </c>
      <c r="H429" s="143">
        <v>1</v>
      </c>
      <c r="I429" s="143">
        <v>7</v>
      </c>
      <c r="J429" s="143">
        <v>0</v>
      </c>
      <c r="K429" s="143">
        <v>0</v>
      </c>
    </row>
    <row r="431" spans="1:11">
      <c r="A431" s="26"/>
      <c r="C431" s="3"/>
      <c r="D431" s="3"/>
      <c r="E431" s="3"/>
    </row>
  </sheetData>
  <sheetProtection selectLockedCells="1" selectUnlockedCells="1"/>
  <mergeCells count="131">
    <mergeCell ref="A1:J1"/>
    <mergeCell ref="A9:J9"/>
    <mergeCell ref="A31:J31"/>
    <mergeCell ref="A35:J35"/>
    <mergeCell ref="E55:E58"/>
    <mergeCell ref="A52:J52"/>
    <mergeCell ref="A45:J45"/>
    <mergeCell ref="A49:J49"/>
    <mergeCell ref="A43:J43"/>
    <mergeCell ref="A21:J21"/>
    <mergeCell ref="A28:J28"/>
    <mergeCell ref="A39:J39"/>
    <mergeCell ref="A10:J10"/>
    <mergeCell ref="A11:J11"/>
    <mergeCell ref="A16:J16"/>
    <mergeCell ref="A38:J38"/>
    <mergeCell ref="A17:J17"/>
    <mergeCell ref="A42:J42"/>
    <mergeCell ref="C55:C58"/>
    <mergeCell ref="A60:J60"/>
    <mergeCell ref="A82:J82"/>
    <mergeCell ref="C77:C78"/>
    <mergeCell ref="A80:J80"/>
    <mergeCell ref="A59:J59"/>
    <mergeCell ref="A153:J153"/>
    <mergeCell ref="A164:J164"/>
    <mergeCell ref="A130:J130"/>
    <mergeCell ref="A129:J129"/>
    <mergeCell ref="A125:J125"/>
    <mergeCell ref="A73:J73"/>
    <mergeCell ref="A124:J124"/>
    <mergeCell ref="A126:J126"/>
    <mergeCell ref="A132:J132"/>
    <mergeCell ref="A120:J120"/>
    <mergeCell ref="A122:J122"/>
    <mergeCell ref="A102:A103"/>
    <mergeCell ref="C102:C103"/>
    <mergeCell ref="A119:J119"/>
    <mergeCell ref="C107:C110"/>
    <mergeCell ref="C111:C115"/>
    <mergeCell ref="A101:J101"/>
    <mergeCell ref="A71:J71"/>
    <mergeCell ref="A157:J157"/>
    <mergeCell ref="A158:J158"/>
    <mergeCell ref="A147:J147"/>
    <mergeCell ref="A148:J148"/>
    <mergeCell ref="A142:J142"/>
    <mergeCell ref="A141:J141"/>
    <mergeCell ref="A154:J154"/>
    <mergeCell ref="A140:J140"/>
    <mergeCell ref="A72:J72"/>
    <mergeCell ref="A81:J81"/>
    <mergeCell ref="A179:J179"/>
    <mergeCell ref="A183:J183"/>
    <mergeCell ref="A184:J184"/>
    <mergeCell ref="A170:J170"/>
    <mergeCell ref="A171:J171"/>
    <mergeCell ref="A172:J172"/>
    <mergeCell ref="A180:J180"/>
    <mergeCell ref="A174:J174"/>
    <mergeCell ref="A181:A182"/>
    <mergeCell ref="A175:J175"/>
    <mergeCell ref="A188:J188"/>
    <mergeCell ref="A189:J189"/>
    <mergeCell ref="A198:J198"/>
    <mergeCell ref="A213:J213"/>
    <mergeCell ref="A205:J205"/>
    <mergeCell ref="A204:J204"/>
    <mergeCell ref="A194:J194"/>
    <mergeCell ref="A195:J195"/>
    <mergeCell ref="A247:J247"/>
    <mergeCell ref="A246:J246"/>
    <mergeCell ref="A203:J203"/>
    <mergeCell ref="A237:J237"/>
    <mergeCell ref="A233:J233"/>
    <mergeCell ref="A238:J238"/>
    <mergeCell ref="A245:J245"/>
    <mergeCell ref="A232:J232"/>
    <mergeCell ref="A215:J215"/>
    <mergeCell ref="A212:J212"/>
    <mergeCell ref="A223:J223"/>
    <mergeCell ref="A266:J266"/>
    <mergeCell ref="A270:J270"/>
    <mergeCell ref="A252:J252"/>
    <mergeCell ref="A260:J260"/>
    <mergeCell ref="A251:J251"/>
    <mergeCell ref="A271:J271"/>
    <mergeCell ref="A276:J276"/>
    <mergeCell ref="A277:J277"/>
    <mergeCell ref="A304:J304"/>
    <mergeCell ref="A278:J278"/>
    <mergeCell ref="A282:J282"/>
    <mergeCell ref="A283:J283"/>
    <mergeCell ref="A293:J293"/>
    <mergeCell ref="A306:J306"/>
    <mergeCell ref="A327:J327"/>
    <mergeCell ref="A317:J317"/>
    <mergeCell ref="A302:J302"/>
    <mergeCell ref="A312:J312"/>
    <mergeCell ref="A307:J307"/>
    <mergeCell ref="A308:J308"/>
    <mergeCell ref="A311:J311"/>
    <mergeCell ref="A326:J326"/>
    <mergeCell ref="A370:J370"/>
    <mergeCell ref="A374:J374"/>
    <mergeCell ref="A403:J403"/>
    <mergeCell ref="A336:J336"/>
    <mergeCell ref="A340:J340"/>
    <mergeCell ref="A359:J359"/>
    <mergeCell ref="A349:K349"/>
    <mergeCell ref="A360:J360"/>
    <mergeCell ref="A335:J335"/>
    <mergeCell ref="A342:J342"/>
    <mergeCell ref="A372:J372"/>
    <mergeCell ref="A345:J345"/>
    <mergeCell ref="A356:J356"/>
    <mergeCell ref="A357:J357"/>
    <mergeCell ref="A365:J365"/>
    <mergeCell ref="A352:J352"/>
    <mergeCell ref="A354:J354"/>
    <mergeCell ref="J419:K419"/>
    <mergeCell ref="A375:J375"/>
    <mergeCell ref="A379:J379"/>
    <mergeCell ref="A381:J381"/>
    <mergeCell ref="A400:J400"/>
    <mergeCell ref="A380:J380"/>
    <mergeCell ref="A389:J389"/>
    <mergeCell ref="A399:J399"/>
    <mergeCell ref="A388:J388"/>
    <mergeCell ref="A404:J404"/>
    <mergeCell ref="A407:J407"/>
  </mergeCells>
  <phoneticPr fontId="17" type="noConversion"/>
  <pageMargins left="0.32" right="0.22" top="1.0527777777777778" bottom="0.36" header="0.78749999999999998" footer="0.24"/>
  <pageSetup paperSize="9" firstPageNumber="0" orientation="landscape" r:id="rId1"/>
  <headerFooter alignWithMargins="0"/>
  <ignoredErrors>
    <ignoredError sqref="F165 J232:J233 F159 I239 H165:H168 G232:H233 A232:A233 G310:J310 D226:F229 J412 A224:F224 G237:H238 G241:J241 F242:G242 J237:J239 A237:F241 H361:J361 B232:F234 A242:D242 H421 J167:J168 A226:B229 H412 G165:G168" numberStoredAsText="1"/>
  </ignoredErrors>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Lapas25"/>
  <dimension ref="A1:H104"/>
  <sheetViews>
    <sheetView zoomScale="130" workbookViewId="0">
      <selection activeCell="D7" sqref="D7"/>
    </sheetView>
  </sheetViews>
  <sheetFormatPr defaultColWidth="9.15234375" defaultRowHeight="15"/>
  <cols>
    <col min="1" max="1" width="35.84375" style="56" customWidth="1"/>
    <col min="2" max="2" width="10.3828125" style="56" customWidth="1"/>
    <col min="3" max="5" width="13.15234375" style="56" customWidth="1"/>
    <col min="6" max="7" width="12.3828125" style="56" customWidth="1"/>
    <col min="8" max="8" width="10.53515625" style="56" customWidth="1"/>
    <col min="9" max="16384" width="9.15234375" style="56"/>
  </cols>
  <sheetData>
    <row r="1" spans="1:6" ht="18" customHeight="1">
      <c r="A1" s="2426" t="s">
        <v>92</v>
      </c>
      <c r="B1" s="2426"/>
      <c r="C1" s="2426"/>
      <c r="D1" s="2426"/>
      <c r="E1" s="2426"/>
      <c r="F1" s="2426"/>
    </row>
    <row r="2" spans="1:6">
      <c r="A2" s="55" t="s">
        <v>645</v>
      </c>
    </row>
    <row r="3" spans="1:6" ht="4.5" customHeight="1">
      <c r="A3" s="57"/>
    </row>
    <row r="4" spans="1:6" ht="30">
      <c r="A4" s="74" t="s">
        <v>623</v>
      </c>
      <c r="B4" s="74" t="s">
        <v>631</v>
      </c>
      <c r="C4" s="75" t="s">
        <v>581</v>
      </c>
      <c r="D4" s="75" t="s">
        <v>599</v>
      </c>
      <c r="E4" s="75" t="s">
        <v>582</v>
      </c>
      <c r="F4" s="75" t="s">
        <v>583</v>
      </c>
    </row>
    <row r="5" spans="1:6" ht="15.75" customHeight="1">
      <c r="A5" s="2430" t="s">
        <v>667</v>
      </c>
      <c r="B5" s="58"/>
      <c r="C5" s="61" t="e">
        <f>C6+C7+C11+C12+C13</f>
        <v>#REF!</v>
      </c>
      <c r="D5" s="76" t="e">
        <f>C5*100/11376.608</f>
        <v>#REF!</v>
      </c>
      <c r="E5" s="61" t="e">
        <f>E6+E7+E11+E12+E13+E14</f>
        <v>#REF!</v>
      </c>
      <c r="F5" s="76" t="e">
        <f>E5*100/E37</f>
        <v>#REF!</v>
      </c>
    </row>
    <row r="6" spans="1:6">
      <c r="A6" s="2431"/>
      <c r="B6" s="62">
        <v>1</v>
      </c>
      <c r="C6" s="59" t="e">
        <f>#REF!</f>
        <v>#REF!</v>
      </c>
      <c r="D6" s="77" t="e">
        <f t="shared" ref="D6:D35" si="0">C6*100/11376.608</f>
        <v>#REF!</v>
      </c>
      <c r="E6" s="59" t="e">
        <f>#REF!</f>
        <v>#REF!</v>
      </c>
      <c r="F6" s="77" t="e">
        <f>E6*100/E37</f>
        <v>#REF!</v>
      </c>
    </row>
    <row r="7" spans="1:6">
      <c r="A7" s="2431"/>
      <c r="B7" s="62">
        <v>2</v>
      </c>
      <c r="C7" s="59" t="e">
        <f>C8+C9+C10</f>
        <v>#REF!</v>
      </c>
      <c r="D7" s="77" t="e">
        <f t="shared" si="0"/>
        <v>#REF!</v>
      </c>
      <c r="E7" s="59" t="e">
        <f>E8+E9+E10</f>
        <v>#REF!</v>
      </c>
      <c r="F7" s="77" t="e">
        <f>E7*100/E37</f>
        <v>#REF!</v>
      </c>
    </row>
    <row r="8" spans="1:6">
      <c r="A8" s="2431"/>
      <c r="B8" s="79" t="s">
        <v>107</v>
      </c>
      <c r="C8" s="60" t="e">
        <f>#REF!+#REF!+#REF!+#REF!+#REF!</f>
        <v>#REF!</v>
      </c>
      <c r="D8" s="66" t="e">
        <f t="shared" si="0"/>
        <v>#REF!</v>
      </c>
      <c r="E8" s="60" t="e">
        <f>#REF!+#REF!+#REF!+#REF!+#REF!</f>
        <v>#REF!</v>
      </c>
      <c r="F8" s="159" t="e">
        <f>E8*100/E37</f>
        <v>#REF!</v>
      </c>
    </row>
    <row r="9" spans="1:6">
      <c r="A9" s="2431"/>
      <c r="B9" s="79" t="s">
        <v>108</v>
      </c>
      <c r="C9" s="60" t="e">
        <f>#REF!+#REF!+#REF!+#REF!+#REF!</f>
        <v>#REF!</v>
      </c>
      <c r="D9" s="66" t="e">
        <f t="shared" si="0"/>
        <v>#REF!</v>
      </c>
      <c r="E9" s="60" t="e">
        <f>#REF!+#REF!+#REF!+#REF!+#REF!</f>
        <v>#REF!</v>
      </c>
      <c r="F9" s="159" t="e">
        <f>E9*100/E37</f>
        <v>#REF!</v>
      </c>
    </row>
    <row r="10" spans="1:6">
      <c r="A10" s="2431"/>
      <c r="B10" s="79" t="s">
        <v>109</v>
      </c>
      <c r="C10" s="60" t="e">
        <f>#REF!+#REF!+#REF!+#REF!+#REF!</f>
        <v>#REF!</v>
      </c>
      <c r="D10" s="66" t="e">
        <f t="shared" si="0"/>
        <v>#REF!</v>
      </c>
      <c r="E10" s="60" t="e">
        <f>#REF!+#REF!+#REF!+#REF!+#REF!</f>
        <v>#REF!</v>
      </c>
      <c r="F10" s="159" t="e">
        <f>E10*100/E37</f>
        <v>#REF!</v>
      </c>
    </row>
    <row r="11" spans="1:6">
      <c r="A11" s="2431"/>
      <c r="B11" s="62">
        <v>3</v>
      </c>
      <c r="C11" s="59" t="e">
        <f>#REF!</f>
        <v>#REF!</v>
      </c>
      <c r="D11" s="77" t="e">
        <f t="shared" si="0"/>
        <v>#REF!</v>
      </c>
      <c r="E11" s="59" t="e">
        <f>#REF!</f>
        <v>#REF!</v>
      </c>
      <c r="F11" s="77" t="e">
        <f>E11*100/E37</f>
        <v>#REF!</v>
      </c>
    </row>
    <row r="12" spans="1:6">
      <c r="A12" s="2431"/>
      <c r="B12" s="62">
        <v>4</v>
      </c>
      <c r="C12" s="59" t="e">
        <f>#REF!</f>
        <v>#REF!</v>
      </c>
      <c r="D12" s="77" t="e">
        <f t="shared" si="0"/>
        <v>#REF!</v>
      </c>
      <c r="E12" s="59" t="e">
        <f>#REF!+#REF!</f>
        <v>#REF!</v>
      </c>
      <c r="F12" s="77" t="e">
        <f>E12*100/E37</f>
        <v>#REF!</v>
      </c>
    </row>
    <row r="13" spans="1:6">
      <c r="A13" s="2431"/>
      <c r="B13" s="62">
        <v>6</v>
      </c>
      <c r="C13" s="59" t="e">
        <f>#REF!</f>
        <v>#REF!</v>
      </c>
      <c r="D13" s="77" t="e">
        <f t="shared" si="0"/>
        <v>#REF!</v>
      </c>
      <c r="E13" s="59" t="e">
        <f>#REF!</f>
        <v>#REF!</v>
      </c>
      <c r="F13" s="77" t="e">
        <f>E13*100/E37</f>
        <v>#REF!</v>
      </c>
    </row>
    <row r="14" spans="1:6">
      <c r="A14" s="2432"/>
      <c r="B14" s="62">
        <v>9</v>
      </c>
      <c r="C14" s="59"/>
      <c r="D14" s="77"/>
      <c r="E14" s="59" t="e">
        <f>#REF!</f>
        <v>#REF!</v>
      </c>
      <c r="F14" s="77" t="e">
        <f>E14*100/E37</f>
        <v>#REF!</v>
      </c>
    </row>
    <row r="15" spans="1:6">
      <c r="A15" s="2427" t="s">
        <v>110</v>
      </c>
      <c r="B15" s="62"/>
      <c r="C15" s="61" t="e">
        <f>C16+C19</f>
        <v>#REF!</v>
      </c>
      <c r="D15" s="76" t="e">
        <f>C15*100/11376.608</f>
        <v>#REF!</v>
      </c>
      <c r="E15" s="61" t="e">
        <f>E16+E19</f>
        <v>#REF!</v>
      </c>
      <c r="F15" s="76" t="e">
        <f>E15*100/E37</f>
        <v>#REF!</v>
      </c>
    </row>
    <row r="16" spans="1:6">
      <c r="A16" s="2428"/>
      <c r="B16" s="62">
        <v>2</v>
      </c>
      <c r="C16" s="59" t="e">
        <f>C17+C18</f>
        <v>#REF!</v>
      </c>
      <c r="D16" s="77" t="e">
        <f t="shared" si="0"/>
        <v>#REF!</v>
      </c>
      <c r="E16" s="59" t="e">
        <f>E17+E18</f>
        <v>#REF!</v>
      </c>
      <c r="F16" s="77" t="e">
        <f>E16*100/E37</f>
        <v>#REF!</v>
      </c>
    </row>
    <row r="17" spans="1:6">
      <c r="A17" s="2428"/>
      <c r="B17" s="79" t="s">
        <v>108</v>
      </c>
      <c r="C17" s="60" t="e">
        <f>#REF!+#REF!+#REF!+#REF!+#REF!</f>
        <v>#REF!</v>
      </c>
      <c r="D17" s="66" t="e">
        <f t="shared" si="0"/>
        <v>#REF!</v>
      </c>
      <c r="E17" s="60" t="e">
        <f>#REF!+#REF!+#REF!+#REF!+#REF!</f>
        <v>#REF!</v>
      </c>
      <c r="F17" s="159" t="e">
        <f>E17*100/E37</f>
        <v>#REF!</v>
      </c>
    </row>
    <row r="18" spans="1:6">
      <c r="A18" s="2428"/>
      <c r="B18" s="79" t="s">
        <v>109</v>
      </c>
      <c r="C18" s="60" t="e">
        <f>#REF!+#REF!</f>
        <v>#REF!</v>
      </c>
      <c r="D18" s="66" t="e">
        <f t="shared" si="0"/>
        <v>#REF!</v>
      </c>
      <c r="E18" s="60" t="e">
        <f>#REF!+#REF!+#REF!</f>
        <v>#REF!</v>
      </c>
      <c r="F18" s="159" t="e">
        <f>E18*100/E37</f>
        <v>#REF!</v>
      </c>
    </row>
    <row r="19" spans="1:6">
      <c r="A19" s="2429"/>
      <c r="B19" s="62">
        <v>3</v>
      </c>
      <c r="C19" s="59" t="e">
        <f>#REF!</f>
        <v>#REF!</v>
      </c>
      <c r="D19" s="77" t="e">
        <f>C19*100/11376.608</f>
        <v>#REF!</v>
      </c>
      <c r="E19" s="59" t="e">
        <f>#REF!</f>
        <v>#REF!</v>
      </c>
      <c r="F19" s="77" t="e">
        <f>E19*100/E37</f>
        <v>#REF!</v>
      </c>
    </row>
    <row r="20" spans="1:6" ht="30">
      <c r="A20" s="63" t="s">
        <v>585</v>
      </c>
      <c r="B20" s="62">
        <v>1</v>
      </c>
      <c r="C20" s="61" t="e">
        <f>#REF!</f>
        <v>#REF!</v>
      </c>
      <c r="D20" s="77" t="e">
        <f t="shared" si="0"/>
        <v>#REF!</v>
      </c>
      <c r="E20" s="61" t="e">
        <f>#REF!</f>
        <v>#REF!</v>
      </c>
      <c r="F20" s="77" t="e">
        <f>E20*100/E37</f>
        <v>#REF!</v>
      </c>
    </row>
    <row r="21" spans="1:6" ht="30">
      <c r="A21" s="63" t="s">
        <v>584</v>
      </c>
      <c r="B21" s="62">
        <v>6</v>
      </c>
      <c r="C21" s="61" t="e">
        <f>#REF!</f>
        <v>#REF!</v>
      </c>
      <c r="D21" s="77" t="e">
        <f t="shared" si="0"/>
        <v>#REF!</v>
      </c>
      <c r="E21" s="61" t="e">
        <f>#REF!</f>
        <v>#REF!</v>
      </c>
      <c r="F21" s="77" t="e">
        <f>E21*100/E37</f>
        <v>#REF!</v>
      </c>
    </row>
    <row r="22" spans="1:6" ht="30">
      <c r="A22" s="63" t="s">
        <v>94</v>
      </c>
      <c r="B22" s="62">
        <v>4</v>
      </c>
      <c r="C22" s="61" t="e">
        <f>#REF!+#REF!</f>
        <v>#REF!</v>
      </c>
      <c r="D22" s="77" t="e">
        <f t="shared" si="0"/>
        <v>#REF!</v>
      </c>
      <c r="E22" s="61" t="e">
        <f>#REF!+#REF!</f>
        <v>#REF!</v>
      </c>
      <c r="F22" s="77" t="e">
        <f>E22*100/E37</f>
        <v>#REF!</v>
      </c>
    </row>
    <row r="23" spans="1:6" ht="30">
      <c r="A23" s="63" t="s">
        <v>106</v>
      </c>
      <c r="B23" s="62">
        <v>1</v>
      </c>
      <c r="C23" s="61" t="e">
        <f>#REF!</f>
        <v>#REF!</v>
      </c>
      <c r="D23" s="77" t="e">
        <f t="shared" si="0"/>
        <v>#REF!</v>
      </c>
      <c r="E23" s="61" t="e">
        <f>#REF!</f>
        <v>#REF!</v>
      </c>
      <c r="F23" s="77" t="e">
        <f>E23*100/E37</f>
        <v>#REF!</v>
      </c>
    </row>
    <row r="24" spans="1:6" ht="30">
      <c r="A24" s="63" t="s">
        <v>125</v>
      </c>
      <c r="B24" s="62">
        <v>1</v>
      </c>
      <c r="C24" s="61" t="e">
        <f>#REF!</f>
        <v>#REF!</v>
      </c>
      <c r="D24" s="77" t="e">
        <f t="shared" si="0"/>
        <v>#REF!</v>
      </c>
      <c r="E24" s="61" t="e">
        <f>#REF!</f>
        <v>#REF!</v>
      </c>
      <c r="F24" s="77" t="e">
        <f>E24*100/E37</f>
        <v>#REF!</v>
      </c>
    </row>
    <row r="25" spans="1:6" ht="46.5" customHeight="1">
      <c r="A25" s="63" t="s">
        <v>683</v>
      </c>
      <c r="B25" s="62">
        <v>5</v>
      </c>
      <c r="C25" s="61" t="e">
        <f>#REF!</f>
        <v>#REF!</v>
      </c>
      <c r="D25" s="77" t="e">
        <f t="shared" si="0"/>
        <v>#REF!</v>
      </c>
      <c r="E25" s="61" t="e">
        <f>#REF!</f>
        <v>#REF!</v>
      </c>
      <c r="F25" s="77" t="e">
        <f>E25*100/E37</f>
        <v>#REF!</v>
      </c>
    </row>
    <row r="26" spans="1:6" ht="32.25" customHeight="1">
      <c r="A26" s="63" t="s">
        <v>248</v>
      </c>
      <c r="B26" s="62">
        <v>8</v>
      </c>
      <c r="C26" s="58" t="e">
        <f>#REF!</f>
        <v>#REF!</v>
      </c>
      <c r="D26" s="77" t="e">
        <f t="shared" si="0"/>
        <v>#REF!</v>
      </c>
      <c r="E26" s="61" t="e">
        <f>#REF!</f>
        <v>#REF!</v>
      </c>
      <c r="F26" s="77" t="e">
        <f>E26*100/E37</f>
        <v>#REF!</v>
      </c>
    </row>
    <row r="27" spans="1:6" ht="32.25" customHeight="1">
      <c r="A27" s="63" t="s">
        <v>95</v>
      </c>
      <c r="B27" s="62">
        <v>8</v>
      </c>
      <c r="C27" s="61" t="e">
        <f>#REF!</f>
        <v>#REF!</v>
      </c>
      <c r="D27" s="77" t="e">
        <f t="shared" si="0"/>
        <v>#REF!</v>
      </c>
      <c r="E27" s="61" t="e">
        <f>#REF!+#REF!+#REF!+#REF!</f>
        <v>#REF!</v>
      </c>
      <c r="F27" s="77" t="e">
        <f>E27*100/E37</f>
        <v>#REF!</v>
      </c>
    </row>
    <row r="28" spans="1:6">
      <c r="A28" s="63" t="s">
        <v>644</v>
      </c>
      <c r="B28" s="62">
        <v>9</v>
      </c>
      <c r="C28" s="61">
        <v>40</v>
      </c>
      <c r="D28" s="77">
        <f t="shared" si="0"/>
        <v>0.35159864873607316</v>
      </c>
      <c r="E28" s="61" t="e">
        <f>#REF!</f>
        <v>#REF!</v>
      </c>
      <c r="F28" s="77" t="e">
        <f>E28*100/E37</f>
        <v>#REF!</v>
      </c>
    </row>
    <row r="29" spans="1:6" ht="30">
      <c r="A29" s="63" t="s">
        <v>629</v>
      </c>
      <c r="B29" s="62">
        <v>10</v>
      </c>
      <c r="C29" s="58" t="e">
        <f>#REF!</f>
        <v>#REF!</v>
      </c>
      <c r="D29" s="77" t="e">
        <f t="shared" si="0"/>
        <v>#REF!</v>
      </c>
      <c r="E29" s="61" t="e">
        <f>#REF!</f>
        <v>#REF!</v>
      </c>
      <c r="F29" s="77" t="e">
        <f>E29*100/E37</f>
        <v>#REF!</v>
      </c>
    </row>
    <row r="30" spans="1:6">
      <c r="A30" s="63" t="s">
        <v>727</v>
      </c>
      <c r="B30" s="62">
        <v>10</v>
      </c>
      <c r="C30" s="58" t="e">
        <f>#REF!+#REF!</f>
        <v>#REF!</v>
      </c>
      <c r="D30" s="77" t="e">
        <f t="shared" si="0"/>
        <v>#REF!</v>
      </c>
      <c r="E30" s="58" t="e">
        <f>#REF!+#REF!+#REF!+'Lesu analize'!BR351</f>
        <v>#REF!</v>
      </c>
      <c r="F30" s="77" t="e">
        <f>E30*100/E37</f>
        <v>#REF!</v>
      </c>
    </row>
    <row r="31" spans="1:6" ht="30">
      <c r="A31" s="63" t="s">
        <v>423</v>
      </c>
      <c r="B31" s="62">
        <v>10</v>
      </c>
      <c r="C31" s="61" t="e">
        <f>#REF!</f>
        <v>#REF!</v>
      </c>
      <c r="D31" s="77" t="e">
        <f t="shared" si="0"/>
        <v>#REF!</v>
      </c>
      <c r="E31" s="61" t="e">
        <f>#REF!</f>
        <v>#REF!</v>
      </c>
      <c r="F31" s="77" t="e">
        <f>E31*100/E37</f>
        <v>#REF!</v>
      </c>
    </row>
    <row r="32" spans="1:6">
      <c r="A32" s="63" t="s">
        <v>728</v>
      </c>
      <c r="B32" s="62">
        <v>10</v>
      </c>
      <c r="C32" s="61" t="e">
        <f>#REF!</f>
        <v>#REF!</v>
      </c>
      <c r="D32" s="77" t="e">
        <f t="shared" si="0"/>
        <v>#REF!</v>
      </c>
      <c r="E32" s="61" t="e">
        <f>#REF!</f>
        <v>#REF!</v>
      </c>
      <c r="F32" s="77" t="e">
        <f>E32*100/E37</f>
        <v>#REF!</v>
      </c>
    </row>
    <row r="33" spans="1:6">
      <c r="A33" s="63" t="s">
        <v>424</v>
      </c>
      <c r="B33" s="62">
        <v>10</v>
      </c>
      <c r="C33" s="61" t="e">
        <f>#REF!</f>
        <v>#REF!</v>
      </c>
      <c r="D33" s="77" t="e">
        <f t="shared" si="0"/>
        <v>#REF!</v>
      </c>
      <c r="E33" s="61" t="e">
        <f>#REF!</f>
        <v>#REF!</v>
      </c>
      <c r="F33" s="77" t="e">
        <f>E33*100/E37</f>
        <v>#REF!</v>
      </c>
    </row>
    <row r="34" spans="1:6" ht="27.75" customHeight="1">
      <c r="A34" s="63" t="s">
        <v>513</v>
      </c>
      <c r="B34" s="62">
        <v>10</v>
      </c>
      <c r="C34" s="61" t="e">
        <f>#REF!</f>
        <v>#REF!</v>
      </c>
      <c r="D34" s="77" t="e">
        <f t="shared" si="0"/>
        <v>#REF!</v>
      </c>
      <c r="E34" s="61" t="e">
        <f>#REF!+#REF!</f>
        <v>#REF!</v>
      </c>
      <c r="F34" s="77" t="e">
        <f>E34*100/E37</f>
        <v>#REF!</v>
      </c>
    </row>
    <row r="35" spans="1:6" ht="30.45" thickBot="1">
      <c r="A35" s="63" t="s">
        <v>87</v>
      </c>
      <c r="B35" s="62">
        <v>10</v>
      </c>
      <c r="C35" s="64" t="e">
        <f>#REF!</f>
        <v>#REF!</v>
      </c>
      <c r="D35" s="77" t="e">
        <f t="shared" si="0"/>
        <v>#REF!</v>
      </c>
      <c r="E35" s="64" t="e">
        <f>#REF!</f>
        <v>#REF!</v>
      </c>
      <c r="F35" s="77" t="e">
        <f>E35*100/E37</f>
        <v>#REF!</v>
      </c>
    </row>
    <row r="36" spans="1:6" ht="15.45" thickBot="1">
      <c r="C36" s="65" t="e">
        <f>C5+C15+C20+C21+C22+C23+C24+C25+C26+C27+C28+C29+C30+C31+C32+C33+C34+C35</f>
        <v>#REF!</v>
      </c>
      <c r="D36" s="67" t="e">
        <f>C36*100/11376.608</f>
        <v>#REF!</v>
      </c>
      <c r="E36" s="65" t="e">
        <f>E5+E15+E20+E21+E22+E23+E24+E25+E26+E27+E28+E29+E30+E31+E32+E33+E34+E35</f>
        <v>#REF!</v>
      </c>
      <c r="F36" s="67" t="e">
        <f>E36*100/E37</f>
        <v>#REF!</v>
      </c>
    </row>
    <row r="37" spans="1:6" ht="15.75" customHeight="1">
      <c r="C37" s="158">
        <v>11376.608</v>
      </c>
      <c r="D37" s="158"/>
      <c r="E37" s="158">
        <v>11750.228999999999</v>
      </c>
    </row>
    <row r="38" spans="1:6" s="84" customFormat="1" ht="10.3">
      <c r="A38" s="80" t="e">
        <f>#REF!</f>
        <v>#REF!</v>
      </c>
      <c r="B38" s="81">
        <v>1</v>
      </c>
      <c r="C38" s="82" t="e">
        <f>#REF!</f>
        <v>#REF!</v>
      </c>
      <c r="D38" s="83" t="e">
        <f>C38*100/11376.608</f>
        <v>#REF!</v>
      </c>
      <c r="E38" s="82" t="e">
        <f>#REF!</f>
        <v>#REF!</v>
      </c>
      <c r="F38" s="83" t="e">
        <f>E38*100/E48</f>
        <v>#REF!</v>
      </c>
    </row>
    <row r="39" spans="1:6" s="84" customFormat="1" ht="10.3">
      <c r="A39" s="80" t="e">
        <f>#REF!</f>
        <v>#REF!</v>
      </c>
      <c r="B39" s="81">
        <v>2</v>
      </c>
      <c r="C39" s="82" t="e">
        <f>#REF!</f>
        <v>#REF!</v>
      </c>
      <c r="D39" s="83" t="e">
        <f t="shared" ref="D39:D47" si="1">C39*100/11376.608</f>
        <v>#REF!</v>
      </c>
      <c r="E39" s="82" t="e">
        <f>#REF!</f>
        <v>#REF!</v>
      </c>
      <c r="F39" s="83" t="e">
        <f>E39*100/E48</f>
        <v>#REF!</v>
      </c>
    </row>
    <row r="40" spans="1:6" s="84" customFormat="1" ht="10.3">
      <c r="A40" s="80" t="e">
        <f>#REF!</f>
        <v>#REF!</v>
      </c>
      <c r="B40" s="81">
        <v>3</v>
      </c>
      <c r="C40" s="82" t="e">
        <f>#REF!</f>
        <v>#REF!</v>
      </c>
      <c r="D40" s="83" t="e">
        <f t="shared" si="1"/>
        <v>#REF!</v>
      </c>
      <c r="E40" s="82" t="e">
        <f>#REF!</f>
        <v>#REF!</v>
      </c>
      <c r="F40" s="83" t="e">
        <f>E40*100/E48</f>
        <v>#REF!</v>
      </c>
    </row>
    <row r="41" spans="1:6" s="84" customFormat="1" ht="10.3">
      <c r="A41" s="80" t="e">
        <f>#REF!</f>
        <v>#REF!</v>
      </c>
      <c r="B41" s="81">
        <v>4</v>
      </c>
      <c r="C41" s="82" t="e">
        <f>#REF!</f>
        <v>#REF!</v>
      </c>
      <c r="D41" s="83" t="e">
        <f t="shared" si="1"/>
        <v>#REF!</v>
      </c>
      <c r="E41" s="82" t="e">
        <f>#REF!</f>
        <v>#REF!</v>
      </c>
      <c r="F41" s="83" t="e">
        <f>E41*100/E48</f>
        <v>#REF!</v>
      </c>
    </row>
    <row r="42" spans="1:6" s="84" customFormat="1" ht="10.3">
      <c r="A42" s="80" t="e">
        <f>#REF!</f>
        <v>#REF!</v>
      </c>
      <c r="B42" s="81">
        <v>5</v>
      </c>
      <c r="C42" s="82" t="e">
        <f>#REF!</f>
        <v>#REF!</v>
      </c>
      <c r="D42" s="83" t="e">
        <f t="shared" si="1"/>
        <v>#REF!</v>
      </c>
      <c r="E42" s="82" t="e">
        <f>#REF!</f>
        <v>#REF!</v>
      </c>
      <c r="F42" s="83" t="e">
        <f>E42*100/E48</f>
        <v>#REF!</v>
      </c>
    </row>
    <row r="43" spans="1:6" s="84" customFormat="1" ht="16.5" customHeight="1">
      <c r="A43" s="80" t="e">
        <f>#REF!</f>
        <v>#REF!</v>
      </c>
      <c r="B43" s="81">
        <v>6</v>
      </c>
      <c r="C43" s="82" t="e">
        <f>#REF!</f>
        <v>#REF!</v>
      </c>
      <c r="D43" s="83" t="e">
        <f t="shared" si="1"/>
        <v>#REF!</v>
      </c>
      <c r="E43" s="82" t="e">
        <f>#REF!</f>
        <v>#REF!</v>
      </c>
      <c r="F43" s="83" t="e">
        <f>E43*100/E48</f>
        <v>#REF!</v>
      </c>
    </row>
    <row r="44" spans="1:6" s="84" customFormat="1" ht="10.3">
      <c r="A44" s="80" t="e">
        <f>#REF!</f>
        <v>#REF!</v>
      </c>
      <c r="B44" s="81">
        <v>7</v>
      </c>
      <c r="C44" s="82" t="e">
        <f>#REF!</f>
        <v>#REF!</v>
      </c>
      <c r="D44" s="83" t="e">
        <f t="shared" si="1"/>
        <v>#REF!</v>
      </c>
      <c r="E44" s="82" t="e">
        <f>#REF!</f>
        <v>#REF!</v>
      </c>
      <c r="F44" s="83" t="e">
        <f>E44*100/E48</f>
        <v>#REF!</v>
      </c>
    </row>
    <row r="45" spans="1:6" s="84" customFormat="1" ht="10.3">
      <c r="A45" s="80" t="e">
        <f>#REF!</f>
        <v>#REF!</v>
      </c>
      <c r="B45" s="81">
        <v>8</v>
      </c>
      <c r="C45" s="82" t="e">
        <f>#REF!</f>
        <v>#REF!</v>
      </c>
      <c r="D45" s="83" t="e">
        <f t="shared" si="1"/>
        <v>#REF!</v>
      </c>
      <c r="E45" s="82" t="e">
        <f>#REF!</f>
        <v>#REF!</v>
      </c>
      <c r="F45" s="83" t="e">
        <f>E45*100/E48</f>
        <v>#REF!</v>
      </c>
    </row>
    <row r="46" spans="1:6" s="84" customFormat="1" ht="10.3">
      <c r="A46" s="80" t="e">
        <f>#REF!</f>
        <v>#REF!</v>
      </c>
      <c r="B46" s="81">
        <v>9</v>
      </c>
      <c r="C46" s="82" t="e">
        <f>#REF!</f>
        <v>#REF!</v>
      </c>
      <c r="D46" s="83" t="e">
        <f t="shared" si="1"/>
        <v>#REF!</v>
      </c>
      <c r="E46" s="82" t="e">
        <f>#REF!</f>
        <v>#REF!</v>
      </c>
      <c r="F46" s="83" t="e">
        <f>E46*100/E48</f>
        <v>#REF!</v>
      </c>
    </row>
    <row r="47" spans="1:6" s="84" customFormat="1" ht="15" customHeight="1" thickBot="1">
      <c r="A47" s="80" t="e">
        <f>#REF!</f>
        <v>#REF!</v>
      </c>
      <c r="B47" s="81">
        <v>10</v>
      </c>
      <c r="C47" s="85" t="e">
        <f>#REF!</f>
        <v>#REF!</v>
      </c>
      <c r="D47" s="83" t="e">
        <f t="shared" si="1"/>
        <v>#REF!</v>
      </c>
      <c r="E47" s="85" t="e">
        <f>#REF!</f>
        <v>#REF!</v>
      </c>
      <c r="F47" s="83" t="e">
        <f>E47*100/E48</f>
        <v>#REF!</v>
      </c>
    </row>
    <row r="48" spans="1:6" s="84" customFormat="1" ht="10.75" thickBot="1">
      <c r="C48" s="86" t="e">
        <f>SUM(C38:C47)</f>
        <v>#REF!</v>
      </c>
      <c r="D48" s="87" t="e">
        <f>SUM(D38:D47)</f>
        <v>#REF!</v>
      </c>
      <c r="E48" s="86" t="e">
        <f>SUM(E38:E47)</f>
        <v>#REF!</v>
      </c>
      <c r="F48" s="87" t="e">
        <f>SUM(F38:F47)</f>
        <v>#REF!</v>
      </c>
    </row>
    <row r="53" spans="1:8" ht="25.3">
      <c r="A53" s="96" t="s">
        <v>529</v>
      </c>
      <c r="B53" s="100">
        <v>2015</v>
      </c>
      <c r="C53" s="100">
        <v>2016</v>
      </c>
      <c r="D53" s="100" t="s">
        <v>368</v>
      </c>
      <c r="E53" s="100" t="s">
        <v>364</v>
      </c>
      <c r="F53" s="101" t="s">
        <v>365</v>
      </c>
      <c r="G53" s="102" t="s">
        <v>366</v>
      </c>
      <c r="H53" s="102" t="s">
        <v>367</v>
      </c>
    </row>
    <row r="54" spans="1:8">
      <c r="A54" s="97" t="s">
        <v>425</v>
      </c>
      <c r="B54" s="61" t="e">
        <f>#REF!</f>
        <v>#REF!</v>
      </c>
      <c r="C54" s="61" t="e">
        <f>#REF!</f>
        <v>#REF!</v>
      </c>
      <c r="D54" s="91" t="e">
        <f>C54-B54</f>
        <v>#REF!</v>
      </c>
      <c r="E54" s="92" t="e">
        <f>(C54*100/B54-100)/100</f>
        <v>#REF!</v>
      </c>
      <c r="F54" s="93">
        <v>550</v>
      </c>
      <c r="G54" s="77" t="e">
        <f t="shared" ref="G54:G59" si="2">B54/F54</f>
        <v>#REF!</v>
      </c>
      <c r="H54" s="104" t="e">
        <f t="shared" ref="H54:H59" si="3">C54/F54</f>
        <v>#REF!</v>
      </c>
    </row>
    <row r="55" spans="1:8">
      <c r="A55" s="97" t="s">
        <v>580</v>
      </c>
      <c r="B55" s="61" t="e">
        <f>#REF!</f>
        <v>#REF!</v>
      </c>
      <c r="C55" s="61" t="e">
        <f>#REF!</f>
        <v>#REF!</v>
      </c>
      <c r="D55" s="91" t="e">
        <f t="shared" ref="D55:D65" si="4">C55-B55</f>
        <v>#REF!</v>
      </c>
      <c r="E55" s="92" t="e">
        <f t="shared" ref="E55:E72" si="5">(C55*100/B55-100)/100</f>
        <v>#REF!</v>
      </c>
      <c r="F55" s="94">
        <v>327</v>
      </c>
      <c r="G55" s="77" t="e">
        <f t="shared" si="2"/>
        <v>#REF!</v>
      </c>
      <c r="H55" s="103" t="e">
        <f t="shared" si="3"/>
        <v>#REF!</v>
      </c>
    </row>
    <row r="56" spans="1:8">
      <c r="A56" s="97" t="s">
        <v>426</v>
      </c>
      <c r="B56" s="61" t="e">
        <f>#REF!</f>
        <v>#REF!</v>
      </c>
      <c r="C56" s="61" t="e">
        <f>#REF!</f>
        <v>#REF!</v>
      </c>
      <c r="D56" s="91" t="e">
        <f t="shared" si="4"/>
        <v>#REF!</v>
      </c>
      <c r="E56" s="92" t="e">
        <f t="shared" si="5"/>
        <v>#REF!</v>
      </c>
      <c r="F56" s="93">
        <v>394</v>
      </c>
      <c r="G56" s="77" t="e">
        <f t="shared" si="2"/>
        <v>#REF!</v>
      </c>
      <c r="H56" s="77" t="e">
        <f t="shared" si="3"/>
        <v>#REF!</v>
      </c>
    </row>
    <row r="57" spans="1:8">
      <c r="A57" s="97" t="s">
        <v>427</v>
      </c>
      <c r="B57" s="61" t="e">
        <f>#REF!</f>
        <v>#REF!</v>
      </c>
      <c r="C57" s="61" t="e">
        <f>#REF!</f>
        <v>#REF!</v>
      </c>
      <c r="D57" s="91" t="e">
        <f t="shared" si="4"/>
        <v>#REF!</v>
      </c>
      <c r="E57" s="92" t="e">
        <f t="shared" si="5"/>
        <v>#REF!</v>
      </c>
      <c r="F57" s="94">
        <v>421</v>
      </c>
      <c r="G57" s="77" t="e">
        <f t="shared" si="2"/>
        <v>#REF!</v>
      </c>
      <c r="H57" s="77" t="e">
        <f t="shared" si="3"/>
        <v>#REF!</v>
      </c>
    </row>
    <row r="58" spans="1:8" ht="15.45" thickBot="1">
      <c r="A58" s="110" t="s">
        <v>428</v>
      </c>
      <c r="B58" s="64" t="e">
        <f>#REF!</f>
        <v>#REF!</v>
      </c>
      <c r="C58" s="64" t="e">
        <f>#REF!</f>
        <v>#REF!</v>
      </c>
      <c r="D58" s="111" t="e">
        <f t="shared" si="4"/>
        <v>#REF!</v>
      </c>
      <c r="E58" s="107" t="e">
        <f t="shared" si="5"/>
        <v>#REF!</v>
      </c>
      <c r="F58" s="112">
        <v>234</v>
      </c>
      <c r="G58" s="108" t="e">
        <f t="shared" si="2"/>
        <v>#REF!</v>
      </c>
      <c r="H58" s="108" t="e">
        <f t="shared" si="3"/>
        <v>#REF!</v>
      </c>
    </row>
    <row r="59" spans="1:8" ht="15.45" thickBot="1">
      <c r="A59" s="119" t="s">
        <v>371</v>
      </c>
      <c r="B59" s="113" t="e">
        <f>SUM(B54:B58)</f>
        <v>#REF!</v>
      </c>
      <c r="C59" s="113" t="e">
        <f>SUM(C54:C58)</f>
        <v>#REF!</v>
      </c>
      <c r="D59" s="114" t="e">
        <f>SUM(D54:D58)</f>
        <v>#REF!</v>
      </c>
      <c r="E59" s="115" t="e">
        <f>(C59*100/B59-100)/100</f>
        <v>#REF!</v>
      </c>
      <c r="F59" s="116">
        <f>SUM(F54:F58)</f>
        <v>1926</v>
      </c>
      <c r="G59" s="117" t="e">
        <f t="shared" si="2"/>
        <v>#REF!</v>
      </c>
      <c r="H59" s="118" t="e">
        <f t="shared" si="3"/>
        <v>#REF!</v>
      </c>
    </row>
    <row r="60" spans="1:8">
      <c r="A60" s="98"/>
      <c r="B60" s="89"/>
      <c r="C60" s="89"/>
      <c r="D60" s="105"/>
      <c r="E60" s="90"/>
    </row>
    <row r="61" spans="1:8">
      <c r="A61" s="97" t="s">
        <v>429</v>
      </c>
      <c r="B61" s="61" t="e">
        <f>#REF!+#REF!</f>
        <v>#REF!</v>
      </c>
      <c r="C61" s="61" t="e">
        <f>#REF!+#REF!</f>
        <v>#REF!</v>
      </c>
      <c r="D61" s="91" t="e">
        <f t="shared" si="4"/>
        <v>#REF!</v>
      </c>
      <c r="E61" s="92" t="e">
        <f t="shared" si="5"/>
        <v>#REF!</v>
      </c>
      <c r="F61" s="93">
        <v>161</v>
      </c>
      <c r="G61" s="77" t="e">
        <f t="shared" ref="G61:G66" si="6">B61/F61</f>
        <v>#REF!</v>
      </c>
      <c r="H61" s="103" t="e">
        <f t="shared" ref="H61:H66" si="7">C61/F61</f>
        <v>#REF!</v>
      </c>
    </row>
    <row r="62" spans="1:8">
      <c r="A62" s="97" t="s">
        <v>430</v>
      </c>
      <c r="B62" s="61" t="e">
        <f>#REF!+#REF!</f>
        <v>#REF!</v>
      </c>
      <c r="C62" s="61" t="e">
        <f>#REF!+#REF!</f>
        <v>#REF!</v>
      </c>
      <c r="D62" s="91" t="e">
        <f t="shared" si="4"/>
        <v>#REF!</v>
      </c>
      <c r="E62" s="92" t="e">
        <f t="shared" si="5"/>
        <v>#REF!</v>
      </c>
      <c r="F62" s="93">
        <v>203</v>
      </c>
      <c r="G62" s="77" t="e">
        <f t="shared" si="6"/>
        <v>#REF!</v>
      </c>
      <c r="H62" s="104" t="e">
        <f t="shared" si="7"/>
        <v>#REF!</v>
      </c>
    </row>
    <row r="63" spans="1:8">
      <c r="A63" s="97" t="s">
        <v>431</v>
      </c>
      <c r="B63" s="61" t="e">
        <f>#REF!+#REF!</f>
        <v>#REF!</v>
      </c>
      <c r="C63" s="61" t="e">
        <f>#REF!+#REF!</f>
        <v>#REF!</v>
      </c>
      <c r="D63" s="91" t="e">
        <f t="shared" si="4"/>
        <v>#REF!</v>
      </c>
      <c r="E63" s="92" t="e">
        <f t="shared" si="5"/>
        <v>#REF!</v>
      </c>
      <c r="F63" s="93">
        <v>195</v>
      </c>
      <c r="G63" s="77" t="e">
        <f t="shared" si="6"/>
        <v>#REF!</v>
      </c>
      <c r="H63" s="77" t="e">
        <f t="shared" si="7"/>
        <v>#REF!</v>
      </c>
    </row>
    <row r="64" spans="1:8">
      <c r="A64" s="97" t="s">
        <v>432</v>
      </c>
      <c r="B64" s="61" t="e">
        <f>#REF!+#REF!</f>
        <v>#REF!</v>
      </c>
      <c r="C64" s="61" t="e">
        <f>#REF!+#REF!</f>
        <v>#REF!</v>
      </c>
      <c r="D64" s="91" t="e">
        <f t="shared" si="4"/>
        <v>#REF!</v>
      </c>
      <c r="E64" s="92" t="e">
        <f t="shared" si="5"/>
        <v>#REF!</v>
      </c>
      <c r="F64" s="93">
        <v>183</v>
      </c>
      <c r="G64" s="77" t="e">
        <f t="shared" si="6"/>
        <v>#REF!</v>
      </c>
      <c r="H64" s="77" t="e">
        <f t="shared" si="7"/>
        <v>#REF!</v>
      </c>
    </row>
    <row r="65" spans="1:8" ht="15.45" thickBot="1">
      <c r="A65" s="97" t="s">
        <v>433</v>
      </c>
      <c r="B65" s="61" t="e">
        <f>#REF!+#REF!</f>
        <v>#REF!</v>
      </c>
      <c r="C65" s="61" t="e">
        <f>#REF!+#REF!</f>
        <v>#REF!</v>
      </c>
      <c r="D65" s="91" t="e">
        <f t="shared" si="4"/>
        <v>#REF!</v>
      </c>
      <c r="E65" s="92" t="e">
        <f t="shared" si="5"/>
        <v>#REF!</v>
      </c>
      <c r="F65" s="93">
        <v>181</v>
      </c>
      <c r="G65" s="77" t="e">
        <f t="shared" si="6"/>
        <v>#REF!</v>
      </c>
      <c r="H65" s="77" t="e">
        <f t="shared" si="7"/>
        <v>#REF!</v>
      </c>
    </row>
    <row r="66" spans="1:8" ht="15.45" thickBot="1">
      <c r="A66" s="119" t="s">
        <v>372</v>
      </c>
      <c r="B66" s="113" t="e">
        <f>SUM(B61:B65)</f>
        <v>#REF!</v>
      </c>
      <c r="C66" s="113" t="e">
        <f>SUM(C61:C65)</f>
        <v>#REF!</v>
      </c>
      <c r="D66" s="114" t="e">
        <f>SUM(D61:D65)</f>
        <v>#REF!</v>
      </c>
      <c r="E66" s="115" t="e">
        <f>(C66*100/B66-100)/100</f>
        <v>#REF!</v>
      </c>
      <c r="F66" s="116">
        <f>SUM(F61:F65)</f>
        <v>923</v>
      </c>
      <c r="G66" s="117" t="e">
        <f t="shared" si="6"/>
        <v>#REF!</v>
      </c>
      <c r="H66" s="118" t="e">
        <f t="shared" si="7"/>
        <v>#REF!</v>
      </c>
    </row>
    <row r="67" spans="1:8">
      <c r="A67" s="99"/>
      <c r="B67" s="89"/>
      <c r="C67" s="89"/>
      <c r="D67" s="105"/>
      <c r="E67" s="90"/>
      <c r="G67" s="109"/>
      <c r="H67" s="109"/>
    </row>
    <row r="68" spans="1:8">
      <c r="A68" s="97" t="s">
        <v>357</v>
      </c>
      <c r="B68" s="61" t="e">
        <f>#REF!</f>
        <v>#REF!</v>
      </c>
      <c r="C68" s="95" t="e">
        <f>#REF!</f>
        <v>#REF!</v>
      </c>
      <c r="D68" s="91" t="e">
        <f>C68-B68</f>
        <v>#REF!</v>
      </c>
      <c r="E68" s="92" t="e">
        <f t="shared" si="5"/>
        <v>#REF!</v>
      </c>
      <c r="F68" s="93"/>
      <c r="G68" s="93"/>
      <c r="H68" s="93"/>
    </row>
    <row r="69" spans="1:8">
      <c r="A69" s="97" t="s">
        <v>358</v>
      </c>
      <c r="B69" s="61" t="e">
        <f>#REF!+#REF!</f>
        <v>#REF!</v>
      </c>
      <c r="C69" s="61" t="e">
        <f>#REF!+#REF!</f>
        <v>#REF!</v>
      </c>
      <c r="D69" s="91" t="e">
        <f>C69-B69</f>
        <v>#REF!</v>
      </c>
      <c r="E69" s="92" t="e">
        <f t="shared" si="5"/>
        <v>#REF!</v>
      </c>
      <c r="F69" s="93">
        <v>469</v>
      </c>
      <c r="G69" s="77" t="e">
        <f>B69/F69</f>
        <v>#REF!</v>
      </c>
      <c r="H69" s="103" t="e">
        <f>C69/F69</f>
        <v>#REF!</v>
      </c>
    </row>
    <row r="70" spans="1:8">
      <c r="A70" s="97" t="s">
        <v>359</v>
      </c>
      <c r="B70" s="61" t="e">
        <f>#REF!+#REF!</f>
        <v>#REF!</v>
      </c>
      <c r="C70" s="61" t="e">
        <f>#REF!+#REF!</f>
        <v>#REF!</v>
      </c>
      <c r="D70" s="91" t="e">
        <f>C70-B70</f>
        <v>#REF!</v>
      </c>
      <c r="E70" s="92" t="e">
        <f t="shared" si="5"/>
        <v>#REF!</v>
      </c>
      <c r="F70" s="93">
        <v>963</v>
      </c>
      <c r="G70" s="77" t="e">
        <f>B70/F70</f>
        <v>#REF!</v>
      </c>
      <c r="H70" s="104" t="e">
        <f>C70/F70</f>
        <v>#REF!</v>
      </c>
    </row>
    <row r="71" spans="1:8">
      <c r="A71" s="97" t="s">
        <v>360</v>
      </c>
      <c r="B71" s="61" t="e">
        <f>#REF!</f>
        <v>#REF!</v>
      </c>
      <c r="C71" s="61" t="e">
        <f>#REF!</f>
        <v>#REF!</v>
      </c>
      <c r="D71" s="91" t="e">
        <f>C71-B71</f>
        <v>#REF!</v>
      </c>
      <c r="E71" s="92" t="e">
        <f t="shared" si="5"/>
        <v>#REF!</v>
      </c>
      <c r="F71" s="93"/>
      <c r="G71" s="93"/>
      <c r="H71" s="93"/>
    </row>
    <row r="72" spans="1:8" ht="15.45" thickBot="1">
      <c r="A72" s="110" t="s">
        <v>369</v>
      </c>
      <c r="B72" s="64" t="e">
        <f>#REF!</f>
        <v>#REF!</v>
      </c>
      <c r="C72" s="64" t="e">
        <f>#REF!</f>
        <v>#REF!</v>
      </c>
      <c r="D72" s="111" t="e">
        <f>C72-B72</f>
        <v>#REF!</v>
      </c>
      <c r="E72" s="107" t="e">
        <f t="shared" si="5"/>
        <v>#REF!</v>
      </c>
      <c r="F72" s="112"/>
      <c r="G72" s="112"/>
      <c r="H72" s="112"/>
    </row>
    <row r="73" spans="1:8" ht="15.45" thickBot="1">
      <c r="A73" s="119" t="s">
        <v>385</v>
      </c>
      <c r="B73" s="113" t="e">
        <f>SUM(B68:B72)</f>
        <v>#REF!</v>
      </c>
      <c r="C73" s="113" t="e">
        <f>SUM(C68:C72)</f>
        <v>#REF!</v>
      </c>
      <c r="D73" s="114" t="e">
        <f>SUM(D68:D72)</f>
        <v>#REF!</v>
      </c>
      <c r="E73" s="115" t="e">
        <f>(C73*100/B73-100)/100</f>
        <v>#REF!</v>
      </c>
      <c r="F73" s="116">
        <f>F69+F70</f>
        <v>1432</v>
      </c>
      <c r="G73" s="116"/>
      <c r="H73" s="123"/>
    </row>
    <row r="74" spans="1:8">
      <c r="A74" s="98"/>
      <c r="B74" s="88"/>
      <c r="C74" s="88"/>
      <c r="D74" s="105"/>
    </row>
    <row r="75" spans="1:8" ht="15.45" thickBot="1">
      <c r="A75" s="99" t="s">
        <v>530</v>
      </c>
      <c r="B75" s="88"/>
      <c r="C75" s="88"/>
    </row>
    <row r="76" spans="1:8" ht="15.45" thickBot="1">
      <c r="A76" s="121" t="s">
        <v>716</v>
      </c>
      <c r="B76" s="120" t="e">
        <f>#REF!+#REF!</f>
        <v>#REF!</v>
      </c>
      <c r="C76" s="113" t="e">
        <f>#REF!+#REF!</f>
        <v>#REF!</v>
      </c>
      <c r="D76" s="122" t="e">
        <f>C76-B76</f>
        <v>#REF!</v>
      </c>
      <c r="E76" s="115" t="e">
        <f>(C76*100/B76-100)/100</f>
        <v>#REF!</v>
      </c>
      <c r="F76" s="116">
        <v>795</v>
      </c>
      <c r="G76" s="117" t="e">
        <f>B76/F76</f>
        <v>#REF!</v>
      </c>
      <c r="H76" s="118" t="e">
        <f>C76/F76</f>
        <v>#REF!</v>
      </c>
    </row>
    <row r="77" spans="1:8">
      <c r="A77" s="98"/>
      <c r="B77" s="88"/>
      <c r="C77" s="88"/>
    </row>
    <row r="78" spans="1:8">
      <c r="A78" s="99" t="s">
        <v>361</v>
      </c>
      <c r="B78" s="88"/>
      <c r="C78" s="88"/>
    </row>
    <row r="79" spans="1:8">
      <c r="A79" s="97" t="s">
        <v>362</v>
      </c>
      <c r="B79" s="61" t="e">
        <f>#REF!</f>
        <v>#REF!</v>
      </c>
      <c r="C79" s="61" t="e">
        <f>#REF!</f>
        <v>#REF!</v>
      </c>
      <c r="D79" s="91" t="e">
        <f>C79-B79</f>
        <v>#REF!</v>
      </c>
      <c r="E79" s="92" t="e">
        <f>(C79*100/B79-100)/100</f>
        <v>#REF!</v>
      </c>
      <c r="F79" s="93"/>
      <c r="G79" s="93"/>
      <c r="H79" s="93"/>
    </row>
    <row r="80" spans="1:8" ht="15.45" thickBot="1">
      <c r="A80" s="97" t="s">
        <v>622</v>
      </c>
      <c r="B80" s="64" t="e">
        <f>#REF!</f>
        <v>#REF!</v>
      </c>
      <c r="C80" s="64" t="e">
        <f>#REF!</f>
        <v>#REF!</v>
      </c>
      <c r="D80" s="111" t="e">
        <f>C80-B80</f>
        <v>#REF!</v>
      </c>
      <c r="E80" s="107" t="e">
        <f>(C80*100/B80-100)/100</f>
        <v>#REF!</v>
      </c>
      <c r="F80" s="112"/>
      <c r="G80" s="112"/>
      <c r="H80" s="112"/>
    </row>
    <row r="81" spans="1:8" ht="15.45" thickBot="1">
      <c r="A81" s="98"/>
      <c r="B81" s="120" t="e">
        <f>SUM(B79:B80)</f>
        <v>#REF!</v>
      </c>
      <c r="C81" s="113" t="e">
        <f>SUM(C79:C80)</f>
        <v>#REF!</v>
      </c>
      <c r="D81" s="114" t="e">
        <f>D79+D80</f>
        <v>#REF!</v>
      </c>
      <c r="E81" s="115" t="e">
        <f>(C81*100/B81-100)/100</f>
        <v>#REF!</v>
      </c>
      <c r="F81" s="116"/>
      <c r="G81" s="116"/>
      <c r="H81" s="123"/>
    </row>
    <row r="82" spans="1:8">
      <c r="A82" s="98"/>
      <c r="B82" s="89"/>
      <c r="C82" s="89"/>
      <c r="D82" s="105"/>
    </row>
    <row r="83" spans="1:8">
      <c r="A83" s="99" t="s">
        <v>531</v>
      </c>
      <c r="B83" s="89"/>
      <c r="C83" s="89"/>
    </row>
    <row r="84" spans="1:8">
      <c r="A84" s="97" t="s">
        <v>485</v>
      </c>
      <c r="B84" s="61" t="e">
        <f>#REF!</f>
        <v>#REF!</v>
      </c>
      <c r="C84" s="61" t="e">
        <f>#REF!</f>
        <v>#REF!</v>
      </c>
      <c r="D84" s="91" t="e">
        <f>C84-B84</f>
        <v>#REF!</v>
      </c>
      <c r="E84" s="92" t="e">
        <f>(C84*100/B84-100)/100</f>
        <v>#REF!</v>
      </c>
      <c r="F84" s="93"/>
      <c r="G84" s="93"/>
      <c r="H84" s="93"/>
    </row>
    <row r="85" spans="1:8" ht="15.45" thickBot="1">
      <c r="A85" s="97" t="s">
        <v>363</v>
      </c>
      <c r="B85" s="64" t="e">
        <f>#REF!</f>
        <v>#REF!</v>
      </c>
      <c r="C85" s="64" t="e">
        <f>#REF!</f>
        <v>#REF!</v>
      </c>
      <c r="D85" s="111" t="e">
        <f>C85-B85</f>
        <v>#REF!</v>
      </c>
      <c r="E85" s="107" t="e">
        <f>(C85*100/B85-100)/100</f>
        <v>#REF!</v>
      </c>
      <c r="F85" s="112"/>
      <c r="G85" s="112"/>
      <c r="H85" s="112"/>
    </row>
    <row r="86" spans="1:8" ht="15.45" thickBot="1">
      <c r="B86" s="120" t="e">
        <f>SUM(B84:B85)</f>
        <v>#REF!</v>
      </c>
      <c r="C86" s="113" t="e">
        <f>SUM(C84:C85)</f>
        <v>#REF!</v>
      </c>
      <c r="D86" s="114" t="e">
        <f>D84+D85</f>
        <v>#REF!</v>
      </c>
      <c r="E86" s="115" t="e">
        <f>(C86*100/B86-100)/100</f>
        <v>#REF!</v>
      </c>
      <c r="F86" s="116"/>
      <c r="G86" s="116"/>
      <c r="H86" s="123"/>
    </row>
    <row r="87" spans="1:8">
      <c r="D87" s="105"/>
    </row>
    <row r="88" spans="1:8">
      <c r="A88" s="106" t="s">
        <v>370</v>
      </c>
      <c r="B88" s="88" t="e">
        <f>B59+B66+B73+B76+B81+B86</f>
        <v>#REF!</v>
      </c>
      <c r="C88" s="88" t="e">
        <f>C59+C66+C73+C76+C81+C86</f>
        <v>#REF!</v>
      </c>
      <c r="D88" s="88" t="e">
        <f>C88-B88</f>
        <v>#REF!</v>
      </c>
      <c r="E88" s="90" t="e">
        <f>(C88*100/B88-100)/100</f>
        <v>#REF!</v>
      </c>
    </row>
    <row r="89" spans="1:8">
      <c r="A89" s="106"/>
      <c r="B89" s="88"/>
      <c r="C89" s="88"/>
      <c r="D89" s="88"/>
      <c r="E89" s="90"/>
    </row>
    <row r="90" spans="1:8">
      <c r="B90" s="124" t="s">
        <v>491</v>
      </c>
    </row>
    <row r="91" spans="1:8">
      <c r="A91" s="97" t="s">
        <v>358</v>
      </c>
      <c r="B91" s="58" t="e">
        <f>#REF!</f>
        <v>#REF!</v>
      </c>
      <c r="C91" s="58" t="e">
        <f>#REF!</f>
        <v>#REF!</v>
      </c>
      <c r="D91" s="125" t="e">
        <f>C91-B91</f>
        <v>#REF!</v>
      </c>
      <c r="E91" s="92" t="e">
        <f>(C91*100/B91-100)/100</f>
        <v>#REF!</v>
      </c>
      <c r="F91" s="93">
        <f>F69</f>
        <v>469</v>
      </c>
      <c r="G91" s="59" t="e">
        <f>B91/F91</f>
        <v>#REF!</v>
      </c>
      <c r="H91" s="59" t="e">
        <f>C91/F91</f>
        <v>#REF!</v>
      </c>
    </row>
    <row r="92" spans="1:8">
      <c r="A92" s="97" t="s">
        <v>359</v>
      </c>
      <c r="B92" s="58" t="e">
        <f>#REF!</f>
        <v>#REF!</v>
      </c>
      <c r="C92" s="61" t="e">
        <f>#REF!</f>
        <v>#REF!</v>
      </c>
      <c r="D92" s="125" t="e">
        <f>C92-B92</f>
        <v>#REF!</v>
      </c>
      <c r="E92" s="92" t="e">
        <f>(C92*100/B92-100)/100</f>
        <v>#REF!</v>
      </c>
      <c r="F92" s="93">
        <f>F70</f>
        <v>963</v>
      </c>
      <c r="G92" s="59" t="e">
        <f>B92/F92</f>
        <v>#REF!</v>
      </c>
      <c r="H92" s="59" t="e">
        <f>C92/F92</f>
        <v>#REF!</v>
      </c>
    </row>
    <row r="93" spans="1:8">
      <c r="A93" s="97" t="s">
        <v>716</v>
      </c>
      <c r="B93" s="61" t="e">
        <f>#REF!</f>
        <v>#REF!</v>
      </c>
      <c r="C93" s="61" t="e">
        <f>#REF!</f>
        <v>#REF!</v>
      </c>
      <c r="D93" s="125" t="e">
        <f>C93-B93</f>
        <v>#REF!</v>
      </c>
      <c r="E93" s="92" t="e">
        <f>(C93*100/B93-100)/100</f>
        <v>#REF!</v>
      </c>
      <c r="F93" s="93">
        <f>F76</f>
        <v>795</v>
      </c>
      <c r="G93" s="59" t="e">
        <f>B93/F93</f>
        <v>#REF!</v>
      </c>
      <c r="H93" s="59" t="e">
        <f>C93/F93</f>
        <v>#REF!</v>
      </c>
    </row>
    <row r="98" spans="1:2">
      <c r="A98" s="56" t="s">
        <v>93</v>
      </c>
    </row>
    <row r="99" spans="1:2" ht="25.75">
      <c r="A99" s="144" t="s">
        <v>729</v>
      </c>
      <c r="B99" s="146">
        <v>33748</v>
      </c>
    </row>
    <row r="100" spans="1:2" ht="38.6">
      <c r="A100" s="144" t="s">
        <v>700</v>
      </c>
      <c r="B100" s="146">
        <v>173300</v>
      </c>
    </row>
    <row r="101" spans="1:2" ht="25.75">
      <c r="A101" s="144" t="s">
        <v>151</v>
      </c>
      <c r="B101" s="146">
        <v>85168</v>
      </c>
    </row>
    <row r="102" spans="1:2" ht="51.45">
      <c r="A102" s="145" t="s">
        <v>152</v>
      </c>
      <c r="B102" s="146">
        <v>46764</v>
      </c>
    </row>
    <row r="103" spans="1:2" ht="38.6">
      <c r="A103" s="145" t="s">
        <v>743</v>
      </c>
      <c r="B103" s="146">
        <v>20000</v>
      </c>
    </row>
    <row r="104" spans="1:2">
      <c r="B104" s="147">
        <f>SUM(B99:B103)</f>
        <v>358980</v>
      </c>
    </row>
  </sheetData>
  <mergeCells count="3">
    <mergeCell ref="A1:F1"/>
    <mergeCell ref="A15:A19"/>
    <mergeCell ref="A5:A14"/>
  </mergeCells>
  <phoneticPr fontId="17" type="noConversion"/>
  <pageMargins left="0.75" right="0.24" top="0.41" bottom="0.41" header="0" footer="0"/>
  <pageSetup paperSize="9" scale="90" orientation="portrait" r:id="rId1"/>
  <headerFooter alignWithMargins="0"/>
  <ignoredErrors>
    <ignoredError sqref="D36 E66 D59:E59 D15:D19 D5:D13" formula="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Darbalapiai</vt:lpstr>
      </vt:variant>
      <vt:variant>
        <vt:i4>24</vt:i4>
      </vt:variant>
      <vt:variant>
        <vt:lpstr>Įvardytieji diapazonai</vt:lpstr>
      </vt:variant>
      <vt:variant>
        <vt:i4>8</vt:i4>
      </vt:variant>
    </vt:vector>
  </HeadingPairs>
  <TitlesOfParts>
    <vt:vector size="32" baseType="lpstr">
      <vt:lpstr>Mero pranešimas (I)</vt:lpstr>
      <vt:lpstr>Veiklos rezultatai (II)</vt:lpstr>
      <vt:lpstr>Regioninis planavimas (III)</vt:lpstr>
      <vt:lpstr>Plėtros tikslų stebėsena (IV) </vt:lpstr>
      <vt:lpstr>2023-2025 SVP ataskaita (V)</vt:lpstr>
      <vt:lpstr>Programų vykdymas 2023 (VI)</vt:lpstr>
      <vt:lpstr>1 programa (VII) </vt:lpstr>
      <vt:lpstr>2 programa (VIII)</vt:lpstr>
      <vt:lpstr>Švietimo stebėsena (IX)</vt:lpstr>
      <vt:lpstr>3 programa (X)</vt:lpstr>
      <vt:lpstr>4 programa (XI)</vt:lpstr>
      <vt:lpstr>5 programa (XII)</vt:lpstr>
      <vt:lpstr>6 programa (XIII)</vt:lpstr>
      <vt:lpstr>7 programa (XIV)</vt:lpstr>
      <vt:lpstr>8 programa (XV)</vt:lpstr>
      <vt:lpstr>9 programa (XVI)</vt:lpstr>
      <vt:lpstr>10 programa (XVII)</vt:lpstr>
      <vt:lpstr>VŠĮ rodikliai (XVIII)</vt:lpstr>
      <vt:lpstr>UAB rodikliai (XIX)</vt:lpstr>
      <vt:lpstr>Vertinimo kriterijai</vt:lpstr>
      <vt:lpstr>Lapas2</vt:lpstr>
      <vt:lpstr>Lapas3</vt:lpstr>
      <vt:lpstr>VERTINIMO KRITERIJAI (2 lentelė</vt:lpstr>
      <vt:lpstr>Lesu analize</vt:lpstr>
      <vt:lpstr>'Plėtros tikslų stebėsena (IV) '!_Hlk122275804</vt:lpstr>
      <vt:lpstr>'VŠĮ rodikliai (XVIII)'!_Hlk92374960</vt:lpstr>
      <vt:lpstr>'VŠĮ rodikliai (XVIII)'!_Hlk92375563</vt:lpstr>
      <vt:lpstr>'VŠĮ rodikliai (XVIII)'!_Hlk92375700</vt:lpstr>
      <vt:lpstr>'VŠĮ rodikliai (XVIII)'!_Hlk92376639</vt:lpstr>
      <vt:lpstr>'VŠĮ rodikliai (XVIII)'!_Toc123901359</vt:lpstr>
      <vt:lpstr>'Vertinimo kriterijai'!_Toc506024955</vt:lpstr>
      <vt:lpstr>'VERTINIMO KRITERIJAI (2 lentelė'!Print_Area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Liudmila</dc:creator>
  <cp:lastModifiedBy>Bendras6</cp:lastModifiedBy>
  <cp:lastPrinted>2024-04-11T12:22:51Z</cp:lastPrinted>
  <dcterms:created xsi:type="dcterms:W3CDTF">2012-11-22T11:23:10Z</dcterms:created>
  <dcterms:modified xsi:type="dcterms:W3CDTF">2024-05-07T14:08:11Z</dcterms:modified>
  <cp:contentStatus/>
</cp:coreProperties>
</file>